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NAS PERIKANAN\DINAS PERIKANAN TA 2023\DATA PRODUKSI PENGOLAHAN 2023\"/>
    </mc:Choice>
  </mc:AlternateContent>
  <bookViews>
    <workbookView xWindow="0" yWindow="0" windowWidth="20490" windowHeight="7065" firstSheet="14" activeTab="14"/>
  </bookViews>
  <sheets>
    <sheet name="hsl tngkapn laut mnrt tmpt  TPI" sheetId="20" state="hidden" r:id="rId1"/>
    <sheet name="hsl tngkapn laut mnrt Kecamatan" sheetId="2" state="hidden" r:id="rId2"/>
    <sheet name="  hasil tangkapan laut mnrt bln" sheetId="1" state="hidden" r:id="rId3"/>
    <sheet name="luas &amp; prod tambak mnrt kec" sheetId="4" state="hidden" r:id="rId4"/>
    <sheet name="pro&amp;nilai prknnn tmbak mnrt bln" sheetId="15" state="hidden" r:id="rId5"/>
    <sheet name="luas &amp; prod kolam mnrt kec" sheetId="5" state="hidden" r:id="rId6"/>
    <sheet name="prod&amp;nilai prknn kolam mnrt bln" sheetId="13" state="hidden" r:id="rId7"/>
    <sheet name="prod&amp;nilai prknn waduk per kec" sheetId="16" state="hidden" r:id="rId8"/>
    <sheet name="prod&amp; nilai prknn waduk perbln" sheetId="19" state="hidden" r:id="rId9"/>
    <sheet name="prod&amp; nilai prknn Sungai perbln" sheetId="6" state="hidden" r:id="rId10"/>
    <sheet name="prod &amp; nilai rmpt laut mnrt kec" sheetId="8" state="hidden" r:id="rId11"/>
    <sheet name="prod &amp; nilai rumpt laut per bln" sheetId="7" state="hidden" r:id="rId12"/>
    <sheet name="prod &amp; nilai grm tmbk per kec" sheetId="10" r:id="rId13"/>
    <sheet name="prod&amp;nilai garm rakyat mnrt bln" sheetId="18" r:id="rId14"/>
    <sheet name="prod&amp;nilai garm rebus mnrt bln" sheetId="17" r:id="rId15"/>
    <sheet name="prod&amp;nilai Pengolahan mnrt bln" sheetId="9" state="hidden" r:id="rId16"/>
    <sheet name="alat tangkap mnrt jenis di PPI" sheetId="11" state="hidden" r:id="rId17"/>
    <sheet name="Garam KW I &amp; KW II" sheetId="21" state="hidden" r:id="rId18"/>
  </sheets>
  <externalReferences>
    <externalReference r:id="rId19"/>
    <externalReference r:id="rId20"/>
  </externalReferences>
  <definedNames>
    <definedName name="_GoBack" localSheetId="13">'prod&amp;nilai garm rakyat mnrt bln'!$C$7</definedName>
    <definedName name="_GoBack" localSheetId="14">'prod&amp;nilai garm rebus mnrt bln'!$C$7</definedName>
    <definedName name="_GoBack" localSheetId="15">'prod&amp;nilai Pengolahan mnrt bln'!$C$7</definedName>
  </definedNames>
  <calcPr calcId="162913" concurrentCalc="0"/>
</workbook>
</file>

<file path=xl/calcChain.xml><?xml version="1.0" encoding="utf-8"?>
<calcChain xmlns="http://schemas.openxmlformats.org/spreadsheetml/2006/main">
  <c r="C24" i="17" l="1"/>
  <c r="C23" i="17"/>
  <c r="C33" i="9"/>
  <c r="B33" i="9"/>
  <c r="C32" i="9"/>
  <c r="B32" i="9"/>
  <c r="C31" i="9"/>
  <c r="B31" i="9"/>
  <c r="C30" i="9"/>
  <c r="B30" i="9"/>
  <c r="C29" i="9"/>
  <c r="B29" i="9"/>
  <c r="C21" i="9"/>
  <c r="B21" i="9"/>
  <c r="C17" i="9"/>
  <c r="C16" i="9"/>
  <c r="C15" i="9"/>
  <c r="C14" i="9"/>
  <c r="C13" i="9"/>
  <c r="C12" i="9"/>
  <c r="C11" i="9"/>
  <c r="C10" i="9"/>
  <c r="C9" i="9"/>
  <c r="C20" i="9"/>
  <c r="C19" i="9"/>
  <c r="C18" i="9"/>
  <c r="C24" i="10"/>
  <c r="B24" i="10"/>
  <c r="B21" i="10"/>
  <c r="C21" i="10"/>
  <c r="C20" i="10"/>
  <c r="B20" i="10"/>
  <c r="B18" i="10"/>
  <c r="C18" i="10"/>
  <c r="C17" i="10"/>
  <c r="B17" i="10"/>
  <c r="B25" i="10"/>
  <c r="C14" i="18"/>
  <c r="B14" i="18"/>
  <c r="C15" i="18"/>
  <c r="B15" i="18"/>
  <c r="C16" i="18"/>
  <c r="B16" i="18"/>
  <c r="C17" i="18"/>
  <c r="B17" i="18"/>
  <c r="C18" i="18"/>
  <c r="B18" i="18"/>
  <c r="C20" i="18"/>
  <c r="C21" i="18"/>
  <c r="B20" i="18"/>
  <c r="B21" i="18"/>
  <c r="C19" i="18"/>
  <c r="B19" i="18"/>
  <c r="B21" i="17"/>
  <c r="C20" i="17"/>
  <c r="C21" i="17"/>
  <c r="B23" i="18"/>
  <c r="B24" i="18"/>
  <c r="B25" i="18"/>
  <c r="C25" i="18"/>
  <c r="C24" i="18"/>
  <c r="C23" i="18"/>
  <c r="C22" i="18"/>
  <c r="B22" i="18"/>
  <c r="C29" i="10"/>
  <c r="C28" i="10"/>
  <c r="C27" i="10"/>
  <c r="B26" i="10"/>
  <c r="C26" i="10"/>
  <c r="J24" i="9"/>
  <c r="C24" i="9"/>
  <c r="C23" i="9"/>
  <c r="J15" i="9"/>
  <c r="J14" i="9"/>
  <c r="L15" i="9"/>
  <c r="L14" i="9"/>
  <c r="L19" i="9"/>
  <c r="M19" i="9"/>
  <c r="K19" i="9"/>
  <c r="J19" i="9"/>
  <c r="L18" i="9"/>
  <c r="K18" i="9"/>
  <c r="J18" i="9"/>
  <c r="L16" i="9"/>
  <c r="M15" i="9"/>
  <c r="M14" i="9"/>
  <c r="K16" i="9"/>
  <c r="K15" i="9"/>
  <c r="K14" i="9"/>
  <c r="J16" i="9"/>
  <c r="M16" i="9"/>
  <c r="C17" i="16"/>
  <c r="F17" i="16"/>
  <c r="C12" i="16"/>
  <c r="F12" i="16"/>
  <c r="B31" i="13"/>
  <c r="C34" i="13"/>
  <c r="B34" i="13"/>
  <c r="B33" i="13"/>
  <c r="B32" i="13"/>
  <c r="C35" i="15"/>
  <c r="B35" i="15"/>
  <c r="B34" i="15"/>
  <c r="B33" i="15"/>
  <c r="B32" i="15"/>
  <c r="B35" i="13"/>
  <c r="B36" i="15"/>
  <c r="B19" i="6"/>
  <c r="O16" i="13"/>
  <c r="N16" i="13"/>
  <c r="M16" i="13"/>
  <c r="L16" i="13"/>
  <c r="K16" i="13"/>
  <c r="J16" i="13"/>
  <c r="I16" i="13"/>
  <c r="H16" i="13"/>
  <c r="G16" i="13"/>
  <c r="O15" i="13"/>
  <c r="N15" i="13"/>
  <c r="M15" i="13"/>
  <c r="L15" i="13"/>
  <c r="K15" i="13"/>
  <c r="J15" i="13"/>
  <c r="I15" i="13"/>
  <c r="H15" i="13"/>
  <c r="G15" i="13"/>
  <c r="O14" i="13"/>
  <c r="N14" i="13"/>
  <c r="M14" i="13"/>
  <c r="L14" i="13"/>
  <c r="K14" i="13"/>
  <c r="J14" i="13"/>
  <c r="I14" i="13"/>
  <c r="H14" i="13"/>
  <c r="G14" i="13"/>
  <c r="M16" i="15"/>
  <c r="L16" i="15"/>
  <c r="K16" i="15"/>
  <c r="J16" i="15"/>
  <c r="I16" i="15"/>
  <c r="H16" i="15"/>
  <c r="G16" i="15"/>
  <c r="M15" i="15"/>
  <c r="L15" i="15"/>
  <c r="K15" i="15"/>
  <c r="J15" i="15"/>
  <c r="I15" i="15"/>
  <c r="H15" i="15"/>
  <c r="G15" i="15"/>
  <c r="M14" i="15"/>
  <c r="L14" i="15"/>
  <c r="K14" i="15"/>
  <c r="J14" i="15"/>
  <c r="I14" i="15"/>
  <c r="H14" i="15"/>
  <c r="G14" i="15"/>
  <c r="B18" i="6"/>
  <c r="B34" i="6"/>
  <c r="B16" i="6"/>
  <c r="C19" i="6"/>
  <c r="C18" i="6"/>
  <c r="C34" i="6"/>
  <c r="C17" i="6"/>
  <c r="C16" i="6"/>
  <c r="C19" i="19"/>
  <c r="G19" i="19"/>
  <c r="F19" i="19"/>
  <c r="B19" i="19"/>
  <c r="C18" i="19"/>
  <c r="G18" i="19"/>
  <c r="F18" i="19"/>
  <c r="B18" i="19"/>
  <c r="C17" i="19"/>
  <c r="C34" i="19"/>
  <c r="G17" i="19"/>
  <c r="F17" i="19"/>
  <c r="B17" i="19"/>
  <c r="G16" i="19"/>
  <c r="F16" i="19"/>
  <c r="B16" i="19"/>
  <c r="F15" i="19"/>
  <c r="C16" i="19"/>
  <c r="B34" i="19"/>
  <c r="C34" i="7"/>
  <c r="B34" i="7"/>
  <c r="C33" i="7"/>
  <c r="B33" i="7"/>
  <c r="C32" i="7"/>
  <c r="B32" i="7"/>
  <c r="C36" i="7"/>
  <c r="B36" i="7"/>
  <c r="C32" i="21"/>
  <c r="B32" i="21"/>
  <c r="B37" i="21"/>
  <c r="E31" i="21"/>
  <c r="D31" i="21"/>
  <c r="C31" i="21"/>
  <c r="B31" i="21"/>
  <c r="E30" i="21"/>
  <c r="D30" i="21"/>
  <c r="C30" i="21"/>
  <c r="B30" i="21"/>
  <c r="C19" i="21"/>
  <c r="B19" i="21"/>
  <c r="E15" i="21"/>
  <c r="E19" i="21"/>
  <c r="D15" i="21"/>
  <c r="D32" i="21"/>
  <c r="D14" i="21"/>
  <c r="D19" i="21"/>
  <c r="E32" i="21"/>
  <c r="D37" i="21"/>
  <c r="G15" i="1"/>
  <c r="G14" i="1"/>
  <c r="G13" i="1"/>
  <c r="G12" i="1"/>
  <c r="G11" i="1"/>
  <c r="G10" i="1"/>
  <c r="G9" i="1"/>
  <c r="G8" i="1"/>
  <c r="G23" i="20"/>
  <c r="G28" i="20"/>
  <c r="F23" i="20"/>
  <c r="G22" i="20"/>
  <c r="F22" i="20"/>
  <c r="G21" i="20"/>
  <c r="F21" i="20"/>
  <c r="G20" i="20"/>
  <c r="F20" i="20"/>
  <c r="G19" i="20"/>
  <c r="F19" i="20"/>
  <c r="G17" i="20"/>
  <c r="F17" i="20"/>
  <c r="G16" i="20"/>
  <c r="F16" i="20"/>
  <c r="G15" i="20"/>
  <c r="F15" i="20"/>
  <c r="G13" i="20"/>
  <c r="F13" i="20"/>
  <c r="G12" i="20"/>
  <c r="F12" i="20"/>
  <c r="G11" i="20"/>
  <c r="F11" i="20"/>
  <c r="G10" i="20"/>
  <c r="F10" i="20"/>
  <c r="G9" i="20"/>
  <c r="F9" i="20"/>
  <c r="G23" i="2"/>
  <c r="G16" i="2"/>
  <c r="F22" i="2"/>
  <c r="G22" i="2"/>
  <c r="G21" i="2"/>
  <c r="G20" i="2"/>
  <c r="G19" i="2"/>
  <c r="G12" i="2"/>
  <c r="G13" i="2"/>
  <c r="G17" i="2"/>
  <c r="G15" i="2"/>
  <c r="F15" i="2"/>
  <c r="G9" i="2"/>
  <c r="F9" i="2"/>
  <c r="G11" i="2"/>
  <c r="F11" i="2"/>
  <c r="G10" i="2"/>
  <c r="F10" i="2"/>
  <c r="F12" i="1"/>
  <c r="F11" i="1"/>
  <c r="F10" i="1"/>
  <c r="F24" i="20"/>
  <c r="G24" i="20"/>
  <c r="F29" i="20"/>
  <c r="C15" i="6"/>
  <c r="B15" i="6"/>
  <c r="C14" i="6"/>
  <c r="C33" i="6"/>
  <c r="B14" i="6"/>
  <c r="B33" i="6"/>
  <c r="C13" i="6"/>
  <c r="B13" i="6"/>
  <c r="C12" i="6"/>
  <c r="B12" i="6"/>
  <c r="C11" i="6"/>
  <c r="C32" i="6"/>
  <c r="B11" i="6"/>
  <c r="B32" i="6"/>
  <c r="C10" i="6"/>
  <c r="B10" i="6"/>
  <c r="C9" i="6"/>
  <c r="B9" i="6"/>
  <c r="C8" i="6"/>
  <c r="C31" i="6"/>
  <c r="C35" i="6"/>
  <c r="B8" i="6"/>
  <c r="B31" i="6"/>
  <c r="B35" i="6"/>
  <c r="G15" i="19"/>
  <c r="B15" i="19"/>
  <c r="G14" i="19"/>
  <c r="C14" i="19"/>
  <c r="B14" i="19"/>
  <c r="F14" i="19"/>
  <c r="G13" i="19"/>
  <c r="C13" i="19"/>
  <c r="F13" i="19"/>
  <c r="B33" i="19"/>
  <c r="K15" i="1"/>
  <c r="K14" i="1"/>
  <c r="K15" i="20"/>
  <c r="J15" i="20"/>
  <c r="K13" i="20"/>
  <c r="J13" i="20"/>
  <c r="K12" i="20"/>
  <c r="J12" i="20"/>
  <c r="K11" i="20"/>
  <c r="J11" i="20"/>
  <c r="K10" i="20"/>
  <c r="J10" i="20"/>
  <c r="K9" i="20"/>
  <c r="J9" i="20"/>
  <c r="J15" i="1"/>
  <c r="B15" i="1"/>
  <c r="J14" i="1"/>
  <c r="B14" i="1"/>
  <c r="C15" i="1"/>
  <c r="C14" i="1"/>
  <c r="F23" i="2"/>
  <c r="F16" i="2"/>
  <c r="F21" i="2"/>
  <c r="F20" i="2"/>
  <c r="F19" i="2"/>
  <c r="F12" i="2"/>
  <c r="F13" i="2"/>
  <c r="F17" i="2"/>
  <c r="K13" i="2"/>
  <c r="J13" i="2"/>
  <c r="K12" i="2"/>
  <c r="J12" i="2"/>
  <c r="K15" i="2"/>
  <c r="J15" i="2"/>
  <c r="K9" i="2"/>
  <c r="J9" i="2"/>
  <c r="K11" i="2"/>
  <c r="J11" i="2"/>
  <c r="K10" i="2"/>
  <c r="J10" i="2"/>
  <c r="C15" i="19"/>
  <c r="C33" i="19"/>
  <c r="P19" i="13"/>
  <c r="P18" i="13"/>
  <c r="P17" i="13"/>
  <c r="P16" i="13"/>
  <c r="C16" i="13"/>
  <c r="P15" i="13"/>
  <c r="C15" i="13"/>
  <c r="P14" i="13"/>
  <c r="C14" i="13"/>
  <c r="G10" i="13"/>
  <c r="P10" i="13"/>
  <c r="C10" i="13"/>
  <c r="O13" i="13"/>
  <c r="N13" i="13"/>
  <c r="L13" i="13"/>
  <c r="K13" i="13"/>
  <c r="J13" i="13"/>
  <c r="I13" i="13"/>
  <c r="H13" i="13"/>
  <c r="P13" i="13"/>
  <c r="C13" i="13"/>
  <c r="G13" i="13"/>
  <c r="O12" i="13"/>
  <c r="N12" i="13"/>
  <c r="M12" i="13"/>
  <c r="L12" i="13"/>
  <c r="K12" i="13"/>
  <c r="J12" i="13"/>
  <c r="I12" i="13"/>
  <c r="H12" i="13"/>
  <c r="G12" i="13"/>
  <c r="P12" i="13"/>
  <c r="C12" i="13"/>
  <c r="O11" i="13"/>
  <c r="N11" i="13"/>
  <c r="L11" i="13"/>
  <c r="K11" i="13"/>
  <c r="J11" i="13"/>
  <c r="I11" i="13"/>
  <c r="H11" i="13"/>
  <c r="G11" i="13"/>
  <c r="P11" i="13"/>
  <c r="C11" i="13"/>
  <c r="C32" i="13"/>
  <c r="O10" i="13"/>
  <c r="N10" i="13"/>
  <c r="M10" i="13"/>
  <c r="L10" i="13"/>
  <c r="K10" i="13"/>
  <c r="J10" i="13"/>
  <c r="I10" i="13"/>
  <c r="H10" i="13"/>
  <c r="O9" i="13"/>
  <c r="N9" i="13"/>
  <c r="M9" i="13"/>
  <c r="L9" i="13"/>
  <c r="L20" i="13"/>
  <c r="K9" i="13"/>
  <c r="J9" i="13"/>
  <c r="I9" i="13"/>
  <c r="H9" i="13"/>
  <c r="P9" i="13"/>
  <c r="C9" i="13"/>
  <c r="G9" i="13"/>
  <c r="O8" i="13"/>
  <c r="O20" i="13"/>
  <c r="N8" i="13"/>
  <c r="N20" i="13"/>
  <c r="M8" i="13"/>
  <c r="L8" i="13"/>
  <c r="K8" i="13"/>
  <c r="J8" i="13"/>
  <c r="I8" i="13"/>
  <c r="H8" i="13"/>
  <c r="G8" i="13"/>
  <c r="P8" i="13"/>
  <c r="C8" i="13"/>
  <c r="C31" i="13"/>
  <c r="O21" i="13"/>
  <c r="N21" i="13"/>
  <c r="H21" i="13"/>
  <c r="G21" i="13"/>
  <c r="M21" i="13"/>
  <c r="L21" i="13"/>
  <c r="K21" i="13"/>
  <c r="J21" i="13"/>
  <c r="I21" i="13"/>
  <c r="U11" i="13"/>
  <c r="M13" i="13"/>
  <c r="T11" i="13"/>
  <c r="M11" i="13"/>
  <c r="T10" i="13"/>
  <c r="T9" i="13"/>
  <c r="T8" i="13"/>
  <c r="G9" i="15"/>
  <c r="R8" i="15"/>
  <c r="R11" i="15"/>
  <c r="R10" i="15"/>
  <c r="R9" i="15"/>
  <c r="M13" i="15"/>
  <c r="L13" i="15"/>
  <c r="K13" i="15"/>
  <c r="J13" i="15"/>
  <c r="I13" i="15"/>
  <c r="H13" i="15"/>
  <c r="G13" i="15"/>
  <c r="M12" i="15"/>
  <c r="L12" i="15"/>
  <c r="K12" i="15"/>
  <c r="J12" i="15"/>
  <c r="I12" i="15"/>
  <c r="H12" i="15"/>
  <c r="G12" i="15"/>
  <c r="N14" i="15"/>
  <c r="C14" i="15"/>
  <c r="N15" i="15"/>
  <c r="C15" i="15"/>
  <c r="N16" i="15"/>
  <c r="C16" i="15"/>
  <c r="N17" i="15"/>
  <c r="S11" i="15"/>
  <c r="N18" i="15"/>
  <c r="N19" i="15"/>
  <c r="M11" i="15"/>
  <c r="L11" i="15"/>
  <c r="K11" i="15"/>
  <c r="J11" i="15"/>
  <c r="I11" i="15"/>
  <c r="H11" i="15"/>
  <c r="G11" i="15"/>
  <c r="N11" i="15"/>
  <c r="M10" i="15"/>
  <c r="L10" i="15"/>
  <c r="K10" i="15"/>
  <c r="J10" i="15"/>
  <c r="I10" i="15"/>
  <c r="H10" i="15"/>
  <c r="G10" i="15"/>
  <c r="N10" i="15"/>
  <c r="C10" i="15"/>
  <c r="M9" i="15"/>
  <c r="L9" i="15"/>
  <c r="K9" i="15"/>
  <c r="J9" i="15"/>
  <c r="I9" i="15"/>
  <c r="H9" i="15"/>
  <c r="M8" i="15"/>
  <c r="M20" i="15"/>
  <c r="L8" i="15"/>
  <c r="L20" i="15"/>
  <c r="K8" i="15"/>
  <c r="K20" i="15"/>
  <c r="J8" i="15"/>
  <c r="J20" i="15"/>
  <c r="I8" i="15"/>
  <c r="I20" i="15"/>
  <c r="H8" i="15"/>
  <c r="H20" i="15"/>
  <c r="G8" i="15"/>
  <c r="N8" i="15"/>
  <c r="C8" i="15"/>
  <c r="M21" i="15"/>
  <c r="L21" i="15"/>
  <c r="K21" i="15"/>
  <c r="J21" i="15"/>
  <c r="I21" i="15"/>
  <c r="C11" i="15"/>
  <c r="C35" i="13"/>
  <c r="C34" i="15"/>
  <c r="G20" i="15"/>
  <c r="C33" i="13"/>
  <c r="U10" i="13"/>
  <c r="S10" i="15"/>
  <c r="P20" i="13"/>
  <c r="P26" i="13"/>
  <c r="J20" i="13"/>
  <c r="T12" i="13"/>
  <c r="M20" i="13"/>
  <c r="K20" i="13"/>
  <c r="I20" i="13"/>
  <c r="H20" i="13"/>
  <c r="G20" i="13"/>
  <c r="N9" i="15"/>
  <c r="R12" i="15"/>
  <c r="N13" i="15"/>
  <c r="C13" i="15"/>
  <c r="N12" i="15"/>
  <c r="C12" i="15"/>
  <c r="K19" i="20"/>
  <c r="J19" i="20"/>
  <c r="C19" i="1"/>
  <c r="B19" i="1"/>
  <c r="C18" i="1"/>
  <c r="B18" i="1"/>
  <c r="C17" i="1"/>
  <c r="C34" i="1"/>
  <c r="B17" i="1"/>
  <c r="B34" i="1"/>
  <c r="C16" i="1"/>
  <c r="C33" i="1"/>
  <c r="B16" i="1"/>
  <c r="B33" i="1"/>
  <c r="K13" i="1"/>
  <c r="C13" i="1"/>
  <c r="J13" i="1"/>
  <c r="J12" i="1"/>
  <c r="B12" i="1"/>
  <c r="F13" i="1"/>
  <c r="B13" i="1"/>
  <c r="B13" i="19"/>
  <c r="C33" i="15"/>
  <c r="S9" i="15"/>
  <c r="U9" i="13"/>
  <c r="U8" i="13"/>
  <c r="S8" i="15"/>
  <c r="S12" i="15"/>
  <c r="C9" i="15"/>
  <c r="C32" i="15"/>
  <c r="C36" i="15"/>
  <c r="N20" i="15"/>
  <c r="G20" i="11"/>
  <c r="F20" i="11"/>
  <c r="D20" i="11"/>
  <c r="C20" i="11"/>
  <c r="I20" i="11"/>
  <c r="H20" i="11"/>
  <c r="U12" i="13"/>
  <c r="C25" i="2"/>
  <c r="C22" i="2"/>
  <c r="C21" i="2"/>
  <c r="C19" i="2"/>
  <c r="C18" i="2"/>
  <c r="B22" i="2"/>
  <c r="B25" i="2"/>
  <c r="B21" i="2"/>
  <c r="B18" i="2"/>
  <c r="B19" i="2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26" i="2"/>
  <c r="B26" i="2"/>
  <c r="B9" i="20"/>
  <c r="B19" i="20"/>
  <c r="C9" i="20"/>
  <c r="C19" i="20"/>
  <c r="K12" i="1"/>
  <c r="K11" i="1"/>
  <c r="K10" i="1"/>
  <c r="K9" i="1"/>
  <c r="K8" i="1"/>
  <c r="G12" i="19"/>
  <c r="F12" i="19"/>
  <c r="B12" i="19"/>
  <c r="C12" i="19"/>
  <c r="G11" i="19"/>
  <c r="F11" i="19"/>
  <c r="B11" i="19"/>
  <c r="C11" i="19"/>
  <c r="C32" i="19"/>
  <c r="G10" i="19"/>
  <c r="F10" i="19"/>
  <c r="B10" i="19"/>
  <c r="C10" i="19"/>
  <c r="G9" i="19"/>
  <c r="F9" i="19"/>
  <c r="B9" i="19"/>
  <c r="C9" i="19"/>
  <c r="G8" i="19"/>
  <c r="F8" i="19"/>
  <c r="F20" i="19"/>
  <c r="C8" i="19"/>
  <c r="C20" i="19"/>
  <c r="C31" i="19"/>
  <c r="C35" i="19"/>
  <c r="G20" i="19"/>
  <c r="B32" i="19"/>
  <c r="B8" i="19"/>
  <c r="B20" i="19"/>
  <c r="B31" i="19"/>
  <c r="B35" i="19"/>
  <c r="F24" i="2"/>
  <c r="G24" i="2"/>
  <c r="C12" i="1"/>
  <c r="C11" i="1"/>
  <c r="J11" i="1"/>
  <c r="B11" i="1"/>
  <c r="B32" i="1"/>
  <c r="B12" i="16"/>
  <c r="B17" i="16"/>
  <c r="C32" i="1"/>
  <c r="J19" i="2"/>
  <c r="K19" i="2"/>
  <c r="J8" i="1"/>
  <c r="J10" i="1"/>
  <c r="J9" i="1"/>
  <c r="K20" i="1"/>
  <c r="C10" i="1"/>
  <c r="B10" i="1"/>
  <c r="C9" i="1"/>
  <c r="F9" i="1"/>
  <c r="C8" i="1"/>
  <c r="F8" i="1"/>
  <c r="B8" i="1"/>
  <c r="G20" i="1"/>
  <c r="F26" i="16"/>
  <c r="C31" i="1"/>
  <c r="C35" i="1"/>
  <c r="C20" i="1"/>
  <c r="F20" i="1"/>
  <c r="B9" i="1"/>
  <c r="B20" i="1"/>
  <c r="J20" i="1"/>
  <c r="B18" i="8"/>
  <c r="B31" i="1"/>
  <c r="B35" i="1"/>
  <c r="B24" i="4"/>
  <c r="E10" i="11"/>
  <c r="E13" i="11"/>
  <c r="E9" i="11"/>
  <c r="E20" i="11"/>
  <c r="J20" i="11"/>
  <c r="C21" i="11"/>
  <c r="I21" i="11"/>
  <c r="H21" i="11"/>
  <c r="G21" i="11"/>
  <c r="F21" i="11"/>
  <c r="E21" i="11"/>
  <c r="D21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22" i="11"/>
  <c r="J25" i="11"/>
  <c r="J24" i="11"/>
  <c r="J23" i="11"/>
  <c r="C21" i="7"/>
  <c r="B21" i="7"/>
  <c r="C26" i="8"/>
  <c r="B26" i="8"/>
  <c r="C24" i="5"/>
  <c r="B24" i="5"/>
  <c r="C20" i="13"/>
  <c r="B20" i="13"/>
  <c r="J21" i="11"/>
  <c r="B20" i="15"/>
  <c r="C24" i="4"/>
  <c r="C20" i="15"/>
  <c r="C26" i="16"/>
  <c r="B26" i="16"/>
  <c r="C20" i="6"/>
  <c r="B20" i="6"/>
  <c r="C25" i="10"/>
  <c r="N16" i="9"/>
</calcChain>
</file>

<file path=xl/sharedStrings.xml><?xml version="1.0" encoding="utf-8"?>
<sst xmlns="http://schemas.openxmlformats.org/spreadsheetml/2006/main" count="696" uniqueCount="160">
  <si>
    <t>Tabel</t>
  </si>
  <si>
    <t>Bulan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</si>
  <si>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</si>
  <si>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</si>
  <si>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</si>
  <si>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</si>
  <si>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</si>
  <si>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</si>
  <si>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</si>
  <si>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</si>
  <si>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</si>
  <si>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</si>
  <si>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</si>
  <si>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</si>
  <si>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1</t>
  </si>
  <si>
    <t>2</t>
  </si>
  <si>
    <t>3</t>
  </si>
  <si>
    <t>Banyaknya Produksi dan Nilai Produksi Hasil Tangkapan Laut</t>
  </si>
  <si>
    <t>01. SAWOJAJAR</t>
  </si>
  <si>
    <t>02. PULOLAMPES</t>
  </si>
  <si>
    <t>03. KLUWUT</t>
  </si>
  <si>
    <t>04. PENGARADAN</t>
  </si>
  <si>
    <t>05. KRAKAHAN</t>
  </si>
  <si>
    <t>06. KALIGANGSA</t>
  </si>
  <si>
    <t>07. KALIWLINGI</t>
  </si>
  <si>
    <t>08. PRAPAG KIDUL</t>
  </si>
  <si>
    <t>09. PRAPAG LOR</t>
  </si>
  <si>
    <t>10. KARANGDEMPEL</t>
  </si>
  <si>
    <t>Tempat Pelelangan Ikan</t>
  </si>
  <si>
    <t>Banyaknya Produksi (Kg)</t>
  </si>
  <si>
    <t>Nilai Produksi    (Ribu Rupiah)</t>
  </si>
  <si>
    <t>Sumber: Dinas Perikanan Kab.Brebes</t>
  </si>
  <si>
    <t>*) Berdasarkan Hasil Ikan yang Dilelang dan Tidak Dilelang Di TPI</t>
  </si>
  <si>
    <t>Nilai Produksi           (Ribu Rupiah)</t>
  </si>
  <si>
    <t>Nilai Produksi (Ribu Rupiah)</t>
  </si>
  <si>
    <t>Nilai Produksi      (Ribu Rupiah)</t>
  </si>
  <si>
    <t>Kecamatan</t>
  </si>
  <si>
    <t>Luas (Ha)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</si>
  <si>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</si>
  <si>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</si>
  <si>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</si>
  <si>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</si>
  <si>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</si>
  <si>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</si>
  <si>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</si>
  <si>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</si>
  <si>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</si>
  <si>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</si>
  <si>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</si>
  <si>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</si>
  <si>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</si>
  <si>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</si>
  <si>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</si>
  <si>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</si>
  <si>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</si>
  <si>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Sumber: Dinas  Perikanan Kab.Brebes</t>
  </si>
  <si>
    <t>Luas dan Banyaknya Produksi Perikanan Tambak</t>
  </si>
  <si>
    <t>Produksi (Kg)</t>
  </si>
  <si>
    <t>Luas dan Banyaknya Produksi Perikanan Kolam</t>
  </si>
  <si>
    <t>BULAN</t>
  </si>
  <si>
    <t>Banyaknya Produksi dan Nilai Produksi Perikanan Waduk</t>
  </si>
  <si>
    <t>Banyaknya Produksi dan Nilai Produksi Perikanan Rumput Laut</t>
  </si>
  <si>
    <t>NilaiProduksi        (Ribu Rupiah)</t>
  </si>
  <si>
    <t>NilaiProduksi       (Ribu Rupiah)</t>
  </si>
  <si>
    <t>Banyak Produksi (Ton)</t>
  </si>
  <si>
    <t>Banyaknya Produksi dan Nilai Produksi Rumput Laut</t>
  </si>
  <si>
    <t>Banyaknya Produksi dan Nilai Produksi Garam Rakyat</t>
  </si>
  <si>
    <t>Banyaknya Produksi (ton)</t>
  </si>
  <si>
    <t>AlatTangkap</t>
  </si>
  <si>
    <t>Jumlah</t>
  </si>
  <si>
    <t>Arad</t>
  </si>
  <si>
    <t>Cantrang</t>
  </si>
  <si>
    <t>Giil net</t>
  </si>
  <si>
    <t>Trammelnet</t>
  </si>
  <si>
    <t>MPS</t>
  </si>
  <si>
    <t>Kejer</t>
  </si>
  <si>
    <t>01. Kaligangsa</t>
  </si>
  <si>
    <t>02. Kaliwlingi</t>
  </si>
  <si>
    <t>03. Pesantunan</t>
  </si>
  <si>
    <t>04. Sawojajar</t>
  </si>
  <si>
    <t>05. Pulolampes</t>
  </si>
  <si>
    <t>06. Kluwut</t>
  </si>
  <si>
    <t>07. Grinting</t>
  </si>
  <si>
    <t>08. Krakahan</t>
  </si>
  <si>
    <t>09. Pengaradan</t>
  </si>
  <si>
    <t>10. Karangdempel</t>
  </si>
  <si>
    <t>11. PrapagLor</t>
  </si>
  <si>
    <t>12. PrapagKidul</t>
  </si>
  <si>
    <t>Pangkalan Pendaratan Ikan</t>
  </si>
  <si>
    <t>Banyaknya Alat Tangkap Menurut Jenisnya</t>
  </si>
  <si>
    <t>Banyaknya Produksi dan Nilai Produksi Perikanan Kolam</t>
  </si>
  <si>
    <t>Banyaknya Produksi dan Nilai Produksi Hasil Perikanan Tambak</t>
  </si>
  <si>
    <t>Banyaknya Produksi dan Nilai Perikanan Waduk</t>
  </si>
  <si>
    <t>Lainnya</t>
  </si>
  <si>
    <t>Banyaknya Produksi (kg)</t>
  </si>
  <si>
    <t>Banyak Produksi (Kg)</t>
  </si>
  <si>
    <t>Menurut Tempat Pelelangan Ikan di Kabupaten Brebes Tahun 2022</t>
  </si>
  <si>
    <t>Menurut Bulan di Kabupaten Brebes Tahun 2022</t>
  </si>
  <si>
    <t>Jumlah 2022</t>
  </si>
  <si>
    <t>Menurut Kecamatan di Kabupaten Brebes Tahun 2022</t>
  </si>
  <si>
    <t>1Menurut Kecamatan di Kabupaten Brebes Tahun 2022</t>
  </si>
  <si>
    <t>-</t>
  </si>
  <si>
    <t>Data Sementara</t>
  </si>
  <si>
    <t>Banyaknya Produksi dan Nilai Produksi Pengolahan Hasil Perikanan</t>
  </si>
  <si>
    <t>Non Pelabuhan</t>
  </si>
  <si>
    <t>Pelabuhan</t>
  </si>
  <si>
    <t>Jala Tebar (Banjarharjo)</t>
  </si>
  <si>
    <t>Jala Insang Hanyut (Paguyangan)</t>
  </si>
  <si>
    <t>Banyaknya Produksi dan Nilai Produksi Perikanan Sungai</t>
  </si>
  <si>
    <t>11. PESANTUNAN</t>
  </si>
  <si>
    <t>12. RANDUSANGA KULON</t>
  </si>
  <si>
    <t>13.GRINTING</t>
  </si>
  <si>
    <t>14.KEDUNGUTER</t>
  </si>
  <si>
    <t>15.KERTABESUKI</t>
  </si>
  <si>
    <t>Menurut Non Pelabuhan Ikan di Kabupaten Brebes Tahun 2022</t>
  </si>
  <si>
    <t>Menurut Pelabuhan Ikan di Kabupaten Brebes Tahun 2022</t>
  </si>
  <si>
    <t>Non Pelabuhan Menurut Bulan di Kabupaten Brebes Tahun 2022</t>
  </si>
  <si>
    <t>Pelabuhan Menurut Bulan di Kabupaten Brebes Tahun 2022</t>
  </si>
  <si>
    <t>TW II</t>
  </si>
  <si>
    <t>TW III</t>
  </si>
  <si>
    <t>TW IV</t>
  </si>
  <si>
    <t>TW I</t>
  </si>
  <si>
    <t>di Pangkalan Pendaratan Ikan (PPI) Di Kabuapten Brebes Tahun 2022</t>
  </si>
  <si>
    <t>Bandeng</t>
  </si>
  <si>
    <t>Udang Vaname sederhana</t>
  </si>
  <si>
    <t>udang Vaname sederhana</t>
  </si>
  <si>
    <t>udang Vaname Intensif</t>
  </si>
  <si>
    <t>Udang Windu</t>
  </si>
  <si>
    <t>Rumput laut</t>
  </si>
  <si>
    <t>Nilai Air Payau</t>
  </si>
  <si>
    <t>Kepiting Bakau</t>
  </si>
  <si>
    <t>Harga</t>
  </si>
  <si>
    <t xml:space="preserve">TW I </t>
  </si>
  <si>
    <t>Rp</t>
  </si>
  <si>
    <t>Lele</t>
  </si>
  <si>
    <t>Nila</t>
  </si>
  <si>
    <t>Mas</t>
  </si>
  <si>
    <t>Tawes, Lalawak</t>
  </si>
  <si>
    <t xml:space="preserve">Nilem </t>
  </si>
  <si>
    <t>Gurame</t>
  </si>
  <si>
    <t>Gabus</t>
  </si>
  <si>
    <t>Bawal</t>
  </si>
  <si>
    <t>Tambakan</t>
  </si>
  <si>
    <t>Banyaknya Produksi dan Nilai Produksi Garam Non Tambak (Garam Rebus)</t>
  </si>
  <si>
    <t>Data Produksi Garam Krosok</t>
  </si>
  <si>
    <t>Banyaknya Produksi (Ton)</t>
  </si>
  <si>
    <t>KW 1</t>
  </si>
  <si>
    <t>KW 2</t>
  </si>
  <si>
    <t>MEI,OKT,SEP</t>
  </si>
  <si>
    <t>apr,jul,agus</t>
  </si>
  <si>
    <t>TW 3</t>
  </si>
  <si>
    <t>KEPALA BIDANG USAHA PERIKANAN</t>
  </si>
  <si>
    <t>DINAS PERIKANAN KABUPATEN BREBES</t>
  </si>
  <si>
    <t>KARIM, S.E.</t>
  </si>
  <si>
    <t>Pembina</t>
  </si>
  <si>
    <t>NIP. 196811261993011004</t>
  </si>
  <si>
    <t>Menurut Kecamatan di Kabupaten Brebes Tahun 2023</t>
  </si>
  <si>
    <t>Menurut Bulan di Kabupaten Brebes Tahun 2023</t>
  </si>
  <si>
    <t>Jumlah 2023</t>
  </si>
  <si>
    <t>KARIM, S.E.,MM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</si>
</sst>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??_);_(@_)"/>
    <numFmt numFmtId="167" formatCode="_-* #,##0_-;\-* #,##0_-;_-* &quot;-&quot;_-;_-@_-"/>
    <numFmt numFmtId="168" formatCode="_(* #,##0.0_);_(* \(#,##0.0\);_(* &quot;-&quot;_);_(@_)"/>
  </numFmts>
  <fonts count="3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1"/>
      <name val="Arial 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</font>
    <font>
      <sz val="11"/>
      <name val="Calibri"/>
      <family val="2"/>
      <charset val="1"/>
      <scheme val="minor"/>
    </font>
    <font>
      <b/>
      <sz val="12"/>
      <name val="Arial"/>
      <family val="2"/>
    </font>
    <font>
      <sz val="11"/>
      <color rgb="FFFF0000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  <xf numFmtId="41" fontId="25" fillId="0" borderId="0" applyFont="0" applyFill="0" applyBorder="0" applyAlignment="0" applyProtection="0"/>
  </cellStyleXfs>
  <cellXfs count="355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3" xfId="0" applyFont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 applyAlignment="1"/>
    <xf numFmtId="164" fontId="5" fillId="0" borderId="4" xfId="2" applyNumberFormat="1" applyFont="1" applyBorder="1"/>
    <xf numFmtId="0" fontId="12" fillId="0" borderId="0" xfId="0" applyFont="1"/>
    <xf numFmtId="41" fontId="6" fillId="2" borderId="14" xfId="1" applyFont="1" applyFill="1" applyBorder="1" applyAlignment="1">
      <alignment horizontal="right"/>
    </xf>
    <xf numFmtId="0" fontId="5" fillId="2" borderId="11" xfId="0" quotePrefix="1" applyFont="1" applyFill="1" applyBorder="1" applyAlignment="1">
      <alignment horizontal="center"/>
    </xf>
    <xf numFmtId="0" fontId="2" fillId="0" borderId="0" xfId="0" applyFont="1"/>
    <xf numFmtId="41" fontId="6" fillId="0" borderId="4" xfId="1" applyFont="1" applyFill="1" applyBorder="1" applyAlignment="1">
      <alignment horizontal="right"/>
    </xf>
    <xf numFmtId="0" fontId="4" fillId="0" borderId="0" xfId="0" applyFont="1" applyFill="1"/>
    <xf numFmtId="0" fontId="5" fillId="0" borderId="11" xfId="0" applyFont="1" applyBorder="1"/>
    <xf numFmtId="0" fontId="4" fillId="0" borderId="9" xfId="0" applyFont="1" applyBorder="1" applyAlignment="1">
      <alignment wrapText="1"/>
    </xf>
    <xf numFmtId="0" fontId="7" fillId="0" borderId="0" xfId="0" applyFont="1"/>
    <xf numFmtId="41" fontId="5" fillId="0" borderId="4" xfId="1" applyFont="1" applyBorder="1"/>
    <xf numFmtId="41" fontId="6" fillId="0" borderId="4" xfId="1" applyFont="1" applyBorder="1" applyAlignment="1">
      <alignment horizontal="right"/>
    </xf>
    <xf numFmtId="41" fontId="5" fillId="0" borderId="4" xfId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41" fontId="5" fillId="0" borderId="4" xfId="1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/>
    </xf>
    <xf numFmtId="0" fontId="4" fillId="0" borderId="9" xfId="0" applyFont="1" applyBorder="1"/>
    <xf numFmtId="165" fontId="5" fillId="0" borderId="4" xfId="1" applyNumberFormat="1" applyFont="1" applyFill="1" applyBorder="1" applyAlignment="1">
      <alignment horizontal="right"/>
    </xf>
    <xf numFmtId="43" fontId="5" fillId="0" borderId="4" xfId="2" applyNumberFormat="1" applyFont="1" applyBorder="1"/>
    <xf numFmtId="165" fontId="5" fillId="0" borderId="4" xfId="1" applyNumberFormat="1" applyFont="1" applyBorder="1"/>
    <xf numFmtId="41" fontId="5" fillId="0" borderId="5" xfId="3" applyFont="1" applyFill="1" applyBorder="1" applyAlignment="1">
      <alignment horizontal="right"/>
    </xf>
    <xf numFmtId="164" fontId="13" fillId="0" borderId="4" xfId="4" applyNumberFormat="1" applyFont="1" applyFill="1" applyBorder="1"/>
    <xf numFmtId="41" fontId="13" fillId="0" borderId="1" xfId="3" applyFont="1" applyFill="1" applyBorder="1"/>
    <xf numFmtId="41" fontId="5" fillId="0" borderId="2" xfId="3" applyFont="1" applyFill="1" applyBorder="1" applyAlignment="1">
      <alignment horizontal="right"/>
    </xf>
    <xf numFmtId="41" fontId="12" fillId="0" borderId="1" xfId="1" applyFont="1" applyBorder="1"/>
    <xf numFmtId="41" fontId="12" fillId="0" borderId="18" xfId="1" applyFont="1" applyBorder="1"/>
    <xf numFmtId="41" fontId="12" fillId="0" borderId="5" xfId="1" applyFont="1" applyBorder="1"/>
    <xf numFmtId="41" fontId="13" fillId="0" borderId="1" xfId="1" applyFont="1" applyBorder="1" applyAlignment="1">
      <alignment horizontal="right"/>
    </xf>
    <xf numFmtId="43" fontId="14" fillId="0" borderId="15" xfId="2" applyNumberFormat="1" applyFont="1" applyBorder="1"/>
    <xf numFmtId="41" fontId="5" fillId="0" borderId="1" xfId="1" applyFont="1" applyBorder="1"/>
    <xf numFmtId="165" fontId="6" fillId="0" borderId="4" xfId="1" applyNumberFormat="1" applyFont="1" applyBorder="1" applyAlignment="1">
      <alignment horizontal="right"/>
    </xf>
    <xf numFmtId="164" fontId="13" fillId="0" borderId="1" xfId="2" applyNumberFormat="1" applyFont="1" applyFill="1" applyBorder="1" applyAlignment="1"/>
    <xf numFmtId="165" fontId="12" fillId="0" borderId="22" xfId="1" applyNumberFormat="1" applyFont="1" applyBorder="1"/>
    <xf numFmtId="41" fontId="12" fillId="0" borderId="15" xfId="1" applyNumberFormat="1" applyFont="1" applyBorder="1"/>
    <xf numFmtId="165" fontId="12" fillId="0" borderId="10" xfId="1" applyNumberFormat="1" applyFont="1" applyBorder="1"/>
    <xf numFmtId="41" fontId="12" fillId="0" borderId="1" xfId="1" applyNumberFormat="1" applyFont="1" applyBorder="1"/>
    <xf numFmtId="165" fontId="12" fillId="0" borderId="1" xfId="1" applyNumberFormat="1" applyFont="1" applyBorder="1"/>
    <xf numFmtId="165" fontId="12" fillId="0" borderId="19" xfId="1" applyNumberFormat="1" applyFont="1" applyBorder="1"/>
    <xf numFmtId="165" fontId="12" fillId="0" borderId="15" xfId="1" applyNumberFormat="1" applyFont="1" applyBorder="1"/>
    <xf numFmtId="165" fontId="12" fillId="0" borderId="5" xfId="1" applyNumberFormat="1" applyFont="1" applyBorder="1"/>
    <xf numFmtId="41" fontId="12" fillId="0" borderId="6" xfId="1" applyNumberFormat="1" applyFont="1" applyBorder="1"/>
    <xf numFmtId="41" fontId="12" fillId="0" borderId="2" xfId="1" applyFont="1" applyBorder="1"/>
    <xf numFmtId="41" fontId="13" fillId="0" borderId="1" xfId="1" applyFont="1" applyFill="1" applyBorder="1" applyAlignment="1">
      <alignment horizontal="right"/>
    </xf>
    <xf numFmtId="41" fontId="5" fillId="0" borderId="6" xfId="1" applyFont="1" applyFill="1" applyBorder="1" applyAlignment="1">
      <alignment horizontal="right"/>
    </xf>
    <xf numFmtId="41" fontId="5" fillId="0" borderId="1" xfId="1" applyFont="1" applyFill="1" applyBorder="1" applyAlignment="1">
      <alignment horizontal="right"/>
    </xf>
    <xf numFmtId="41" fontId="5" fillId="0" borderId="2" xfId="1" applyFont="1" applyFill="1" applyBorder="1" applyAlignment="1">
      <alignment horizontal="right"/>
    </xf>
    <xf numFmtId="41" fontId="13" fillId="0" borderId="23" xfId="1" applyFont="1" applyFill="1" applyBorder="1" applyAlignment="1">
      <alignment horizontal="right"/>
    </xf>
    <xf numFmtId="41" fontId="13" fillId="0" borderId="5" xfId="1" applyFont="1" applyFill="1" applyBorder="1" applyAlignment="1">
      <alignment horizontal="right"/>
    </xf>
    <xf numFmtId="41" fontId="13" fillId="0" borderId="15" xfId="1" applyFont="1" applyFill="1" applyBorder="1" applyAlignment="1">
      <alignment horizontal="right"/>
    </xf>
    <xf numFmtId="41" fontId="13" fillId="0" borderId="15" xfId="1" applyFont="1" applyBorder="1"/>
    <xf numFmtId="41" fontId="13" fillId="0" borderId="20" xfId="1" applyFont="1" applyFill="1" applyBorder="1" applyAlignment="1">
      <alignment horizontal="right"/>
    </xf>
    <xf numFmtId="0" fontId="4" fillId="0" borderId="23" xfId="0" applyFont="1" applyBorder="1"/>
    <xf numFmtId="41" fontId="13" fillId="0" borderId="10" xfId="1" applyFont="1" applyFill="1" applyBorder="1" applyAlignment="1">
      <alignment horizontal="right"/>
    </xf>
    <xf numFmtId="41" fontId="13" fillId="0" borderId="0" xfId="1" applyFont="1" applyFill="1" applyBorder="1" applyAlignment="1">
      <alignment horizontal="right"/>
    </xf>
    <xf numFmtId="41" fontId="6" fillId="0" borderId="4" xfId="1" applyFont="1" applyFill="1" applyBorder="1" applyAlignment="1">
      <alignment horizontal="right" vertical="center" wrapText="1"/>
    </xf>
    <xf numFmtId="41" fontId="11" fillId="3" borderId="1" xfId="1" applyFont="1" applyFill="1" applyBorder="1" applyAlignment="1">
      <alignment horizontal="right"/>
    </xf>
    <xf numFmtId="41" fontId="11" fillId="3" borderId="3" xfId="1" applyFont="1" applyFill="1" applyBorder="1"/>
    <xf numFmtId="41" fontId="11" fillId="3" borderId="18" xfId="1" applyFont="1" applyFill="1" applyBorder="1"/>
    <xf numFmtId="41" fontId="11" fillId="3" borderId="1" xfId="1" applyFont="1" applyFill="1" applyBorder="1"/>
    <xf numFmtId="165" fontId="11" fillId="3" borderId="15" xfId="1" applyNumberFormat="1" applyFont="1" applyFill="1" applyBorder="1"/>
    <xf numFmtId="165" fontId="11" fillId="3" borderId="20" xfId="1" applyNumberFormat="1" applyFont="1" applyFill="1" applyBorder="1"/>
    <xf numFmtId="165" fontId="11" fillId="3" borderId="19" xfId="1" applyNumberFormat="1" applyFont="1" applyFill="1" applyBorder="1"/>
    <xf numFmtId="165" fontId="11" fillId="3" borderId="1" xfId="1" applyNumberFormat="1" applyFont="1" applyFill="1" applyBorder="1"/>
    <xf numFmtId="165" fontId="5" fillId="0" borderId="1" xfId="1" applyNumberFormat="1" applyFont="1" applyBorder="1"/>
    <xf numFmtId="165" fontId="5" fillId="0" borderId="4" xfId="2" applyNumberFormat="1" applyFont="1" applyBorder="1"/>
    <xf numFmtId="43" fontId="14" fillId="0" borderId="1" xfId="2" applyNumberFormat="1" applyFont="1" applyBorder="1"/>
    <xf numFmtId="41" fontId="5" fillId="0" borderId="15" xfId="1" applyFont="1" applyFill="1" applyBorder="1"/>
    <xf numFmtId="41" fontId="13" fillId="0" borderId="1" xfId="1" applyFont="1" applyFill="1" applyBorder="1"/>
    <xf numFmtId="0" fontId="5" fillId="0" borderId="4" xfId="0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right"/>
    </xf>
    <xf numFmtId="41" fontId="6" fillId="0" borderId="0" xfId="1" applyFont="1" applyBorder="1" applyAlignment="1">
      <alignment horizontal="right"/>
    </xf>
    <xf numFmtId="41" fontId="5" fillId="0" borderId="0" xfId="1" applyFont="1" applyBorder="1"/>
    <xf numFmtId="41" fontId="5" fillId="0" borderId="4" xfId="1" applyFont="1" applyFill="1" applyBorder="1"/>
    <xf numFmtId="0" fontId="8" fillId="0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164" fontId="6" fillId="0" borderId="4" xfId="2" applyNumberFormat="1" applyFont="1" applyFill="1" applyBorder="1" applyAlignment="1">
      <alignment horizontal="right"/>
    </xf>
    <xf numFmtId="165" fontId="11" fillId="3" borderId="20" xfId="1" applyNumberFormat="1" applyFont="1" applyFill="1" applyBorder="1" applyAlignment="1">
      <alignment horizontal="right"/>
    </xf>
    <xf numFmtId="0" fontId="15" fillId="0" borderId="0" xfId="0" applyFont="1"/>
    <xf numFmtId="0" fontId="8" fillId="0" borderId="0" xfId="0" applyFont="1" applyAlignment="1">
      <alignment horizontal="center"/>
    </xf>
    <xf numFmtId="41" fontId="0" fillId="0" borderId="0" xfId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41" fontId="12" fillId="0" borderId="0" xfId="1" applyFont="1"/>
    <xf numFmtId="41" fontId="0" fillId="0" borderId="0" xfId="0" applyNumberFormat="1"/>
    <xf numFmtId="41" fontId="15" fillId="0" borderId="0" xfId="0" applyNumberFormat="1" applyFont="1"/>
    <xf numFmtId="41" fontId="5" fillId="0" borderId="0" xfId="1" applyFont="1" applyFill="1" applyBorder="1" applyAlignment="1">
      <alignment horizontal="right"/>
    </xf>
    <xf numFmtId="0" fontId="0" fillId="0" borderId="0" xfId="0" applyBorder="1"/>
    <xf numFmtId="41" fontId="13" fillId="0" borderId="0" xfId="0" applyNumberFormat="1" applyFont="1"/>
    <xf numFmtId="0" fontId="7" fillId="0" borderId="0" xfId="0" applyFont="1"/>
    <xf numFmtId="41" fontId="6" fillId="0" borderId="4" xfId="1" applyNumberFormat="1" applyFont="1" applyBorder="1" applyAlignment="1">
      <alignment horizontal="right"/>
    </xf>
    <xf numFmtId="0" fontId="6" fillId="4" borderId="3" xfId="0" applyFont="1" applyFill="1" applyBorder="1"/>
    <xf numFmtId="41" fontId="6" fillId="4" borderId="4" xfId="1" applyFont="1" applyFill="1" applyBorder="1" applyAlignment="1">
      <alignment horizontal="right"/>
    </xf>
    <xf numFmtId="0" fontId="0" fillId="0" borderId="1" xfId="0" applyBorder="1"/>
    <xf numFmtId="0" fontId="16" fillId="2" borderId="1" xfId="0" applyFont="1" applyFill="1" applyBorder="1" applyAlignment="1">
      <alignment horizontal="center" vertical="center" wrapText="1"/>
    </xf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5" fillId="0" borderId="1" xfId="0" applyNumberFormat="1" applyFont="1" applyBorder="1"/>
    <xf numFmtId="0" fontId="10" fillId="0" borderId="0" xfId="0" applyFont="1" applyAlignment="1"/>
    <xf numFmtId="164" fontId="12" fillId="4" borderId="17" xfId="2" applyNumberFormat="1" applyFont="1" applyFill="1" applyBorder="1" applyAlignment="1"/>
    <xf numFmtId="164" fontId="12" fillId="4" borderId="17" xfId="2" applyNumberFormat="1" applyFont="1" applyFill="1" applyBorder="1" applyAlignment="1">
      <alignment horizontal="right"/>
    </xf>
    <xf numFmtId="164" fontId="12" fillId="4" borderId="24" xfId="2" applyNumberFormat="1" applyFont="1" applyFill="1" applyBorder="1" applyAlignment="1">
      <alignment horizontal="right"/>
    </xf>
    <xf numFmtId="164" fontId="12" fillId="4" borderId="17" xfId="0" applyNumberFormat="1" applyFont="1" applyFill="1" applyBorder="1" applyAlignment="1">
      <alignment horizontal="right"/>
    </xf>
    <xf numFmtId="164" fontId="12" fillId="4" borderId="24" xfId="0" applyNumberFormat="1" applyFont="1" applyFill="1" applyBorder="1" applyAlignment="1">
      <alignment horizontal="right"/>
    </xf>
    <xf numFmtId="164" fontId="12" fillId="4" borderId="25" xfId="0" applyNumberFormat="1" applyFont="1" applyFill="1" applyBorder="1" applyAlignment="1">
      <alignment horizontal="right"/>
    </xf>
    <xf numFmtId="164" fontId="12" fillId="4" borderId="25" xfId="2" applyNumberFormat="1" applyFont="1" applyFill="1" applyBorder="1" applyAlignment="1">
      <alignment horizontal="right"/>
    </xf>
    <xf numFmtId="164" fontId="12" fillId="4" borderId="26" xfId="2" applyNumberFormat="1" applyFont="1" applyFill="1" applyBorder="1" applyAlignment="1">
      <alignment horizontal="right"/>
    </xf>
    <xf numFmtId="41" fontId="5" fillId="4" borderId="15" xfId="1" applyFont="1" applyFill="1" applyBorder="1"/>
    <xf numFmtId="41" fontId="13" fillId="4" borderId="1" xfId="1" applyFont="1" applyFill="1" applyBorder="1"/>
    <xf numFmtId="164" fontId="0" fillId="0" borderId="0" xfId="0" applyNumberFormat="1"/>
    <xf numFmtId="0" fontId="18" fillId="0" borderId="0" xfId="0" applyFont="1"/>
    <xf numFmtId="0" fontId="5" fillId="0" borderId="0" xfId="0" applyFont="1" applyFill="1" applyBorder="1"/>
    <xf numFmtId="41" fontId="13" fillId="0" borderId="0" xfId="1" applyFont="1"/>
    <xf numFmtId="41" fontId="17" fillId="0" borderId="0" xfId="1" applyFont="1"/>
    <xf numFmtId="0" fontId="18" fillId="0" borderId="17" xfId="0" applyFont="1" applyBorder="1"/>
    <xf numFmtId="0" fontId="5" fillId="2" borderId="17" xfId="0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0" borderId="17" xfId="0" applyFont="1" applyBorder="1"/>
    <xf numFmtId="164" fontId="12" fillId="0" borderId="17" xfId="2" applyNumberFormat="1" applyFont="1" applyBorder="1"/>
    <xf numFmtId="41" fontId="18" fillId="0" borderId="17" xfId="0" applyNumberFormat="1" applyFont="1" applyBorder="1"/>
    <xf numFmtId="164" fontId="17" fillId="0" borderId="17" xfId="0" applyNumberFormat="1" applyFont="1" applyBorder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1" fontId="18" fillId="0" borderId="17" xfId="0" applyNumberFormat="1" applyFont="1" applyFill="1" applyBorder="1"/>
    <xf numFmtId="0" fontId="6" fillId="5" borderId="3" xfId="0" applyFont="1" applyFill="1" applyBorder="1"/>
    <xf numFmtId="41" fontId="6" fillId="5" borderId="4" xfId="1" applyFont="1" applyFill="1" applyBorder="1" applyAlignment="1">
      <alignment horizontal="right"/>
    </xf>
    <xf numFmtId="41" fontId="6" fillId="6" borderId="4" xfId="1" applyNumberFormat="1" applyFont="1" applyFill="1" applyBorder="1" applyAlignment="1">
      <alignment horizontal="right"/>
    </xf>
    <xf numFmtId="0" fontId="18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1" fontId="18" fillId="0" borderId="1" xfId="0" applyNumberFormat="1" applyFont="1" applyBorder="1"/>
    <xf numFmtId="41" fontId="17" fillId="0" borderId="1" xfId="0" applyNumberFormat="1" applyFont="1" applyBorder="1"/>
    <xf numFmtId="0" fontId="12" fillId="4" borderId="1" xfId="0" applyFont="1" applyFill="1" applyBorder="1" applyAlignment="1">
      <alignment wrapText="1"/>
    </xf>
    <xf numFmtId="41" fontId="12" fillId="4" borderId="1" xfId="1" applyFont="1" applyFill="1" applyBorder="1"/>
    <xf numFmtId="0" fontId="12" fillId="4" borderId="1" xfId="0" applyFont="1" applyFill="1" applyBorder="1"/>
    <xf numFmtId="0" fontId="5" fillId="7" borderId="3" xfId="0" quotePrefix="1" applyFont="1" applyFill="1" applyBorder="1" applyAlignment="1">
      <alignment horizontal="center"/>
    </xf>
    <xf numFmtId="0" fontId="5" fillId="7" borderId="4" xfId="0" quotePrefix="1" applyFont="1" applyFill="1" applyBorder="1" applyAlignment="1">
      <alignment horizontal="center"/>
    </xf>
    <xf numFmtId="0" fontId="6" fillId="7" borderId="3" xfId="0" applyFont="1" applyFill="1" applyBorder="1"/>
    <xf numFmtId="41" fontId="6" fillId="7" borderId="4" xfId="1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41" fontId="5" fillId="7" borderId="4" xfId="1" applyFont="1" applyFill="1" applyBorder="1"/>
    <xf numFmtId="164" fontId="5" fillId="7" borderId="4" xfId="2" applyNumberFormat="1" applyFont="1" applyFill="1" applyBorder="1"/>
    <xf numFmtId="0" fontId="4" fillId="7" borderId="0" xfId="0" applyFont="1" applyFill="1"/>
    <xf numFmtId="0" fontId="7" fillId="7" borderId="0" xfId="0" applyFont="1" applyFill="1"/>
    <xf numFmtId="41" fontId="15" fillId="0" borderId="0" xfId="1" applyFont="1"/>
    <xf numFmtId="0" fontId="8" fillId="7" borderId="0" xfId="0" applyFont="1" applyFill="1" applyAlignment="1">
      <alignment horizontal="center"/>
    </xf>
    <xf numFmtId="41" fontId="6" fillId="8" borderId="4" xfId="1" applyNumberFormat="1" applyFont="1" applyFill="1" applyBorder="1" applyAlignment="1">
      <alignment horizontal="right"/>
    </xf>
    <xf numFmtId="41" fontId="6" fillId="4" borderId="4" xfId="1" applyNumberFormat="1" applyFont="1" applyFill="1" applyBorder="1" applyAlignment="1">
      <alignment horizontal="right"/>
    </xf>
    <xf numFmtId="0" fontId="6" fillId="0" borderId="3" xfId="0" applyFont="1" applyFill="1" applyBorder="1"/>
    <xf numFmtId="0" fontId="0" fillId="0" borderId="0" xfId="0" applyFill="1"/>
    <xf numFmtId="0" fontId="12" fillId="0" borderId="1" xfId="0" applyFont="1" applyFill="1" applyBorder="1" applyAlignment="1">
      <alignment wrapText="1"/>
    </xf>
    <xf numFmtId="41" fontId="12" fillId="0" borderId="1" xfId="1" applyFont="1" applyFill="1" applyBorder="1"/>
    <xf numFmtId="0" fontId="6" fillId="0" borderId="3" xfId="0" applyFont="1" applyFill="1" applyBorder="1" applyAlignment="1">
      <alignment horizontal="right"/>
    </xf>
    <xf numFmtId="0" fontId="12" fillId="0" borderId="1" xfId="0" applyFont="1" applyFill="1" applyBorder="1"/>
    <xf numFmtId="0" fontId="2" fillId="0" borderId="0" xfId="5"/>
    <xf numFmtId="0" fontId="17" fillId="0" borderId="0" xfId="5" applyFont="1"/>
    <xf numFmtId="0" fontId="18" fillId="0" borderId="17" xfId="5" applyFont="1" applyBorder="1"/>
    <xf numFmtId="41" fontId="18" fillId="0" borderId="17" xfId="6" applyFont="1" applyBorder="1"/>
    <xf numFmtId="41" fontId="18" fillId="0" borderId="17" xfId="6" applyFont="1" applyBorder="1" applyAlignment="1">
      <alignment horizontal="right"/>
    </xf>
    <xf numFmtId="0" fontId="18" fillId="0" borderId="17" xfId="5" applyFont="1" applyBorder="1" applyAlignment="1">
      <alignment horizontal="right"/>
    </xf>
    <xf numFmtId="165" fontId="18" fillId="0" borderId="17" xfId="6" applyNumberFormat="1" applyFont="1" applyBorder="1"/>
    <xf numFmtId="0" fontId="17" fillId="0" borderId="28" xfId="5" applyFont="1" applyBorder="1" applyAlignment="1">
      <alignment horizontal="center" vertical="center"/>
    </xf>
    <xf numFmtId="0" fontId="17" fillId="0" borderId="28" xfId="5" applyFont="1" applyBorder="1" applyAlignment="1">
      <alignment horizontal="center" vertical="center" wrapText="1"/>
    </xf>
    <xf numFmtId="0" fontId="17" fillId="0" borderId="0" xfId="5" applyFont="1" applyAlignment="1">
      <alignment horizontal="center"/>
    </xf>
    <xf numFmtId="0" fontId="17" fillId="0" borderId="17" xfId="5" applyFont="1" applyBorder="1" applyAlignment="1">
      <alignment horizontal="center" wrapText="1"/>
    </xf>
    <xf numFmtId="0" fontId="17" fillId="0" borderId="27" xfId="5" applyFont="1" applyBorder="1" applyAlignment="1">
      <alignment horizontal="center" wrapText="1"/>
    </xf>
    <xf numFmtId="0" fontId="9" fillId="0" borderId="1" xfId="0" applyFont="1" applyBorder="1"/>
    <xf numFmtId="41" fontId="18" fillId="0" borderId="15" xfId="6" applyFont="1" applyBorder="1"/>
    <xf numFmtId="41" fontId="18" fillId="0" borderId="15" xfId="6" applyFont="1" applyBorder="1" applyAlignment="1">
      <alignment horizontal="right"/>
    </xf>
    <xf numFmtId="41" fontId="18" fillId="0" borderId="20" xfId="6" applyFont="1" applyBorder="1"/>
    <xf numFmtId="0" fontId="17" fillId="0" borderId="34" xfId="5" applyFont="1" applyBorder="1" applyAlignment="1">
      <alignment horizontal="center" vertical="center" wrapText="1"/>
    </xf>
    <xf numFmtId="0" fontId="2" fillId="0" borderId="1" xfId="5" applyBorder="1"/>
    <xf numFmtId="165" fontId="15" fillId="0" borderId="1" xfId="0" applyNumberFormat="1" applyFont="1" applyBorder="1"/>
    <xf numFmtId="165" fontId="17" fillId="0" borderId="17" xfId="5" applyNumberFormat="1" applyFont="1" applyBorder="1"/>
    <xf numFmtId="41" fontId="17" fillId="0" borderId="17" xfId="5" applyNumberFormat="1" applyFont="1" applyBorder="1"/>
    <xf numFmtId="165" fontId="15" fillId="0" borderId="0" xfId="5" applyNumberFormat="1" applyFont="1"/>
    <xf numFmtId="41" fontId="15" fillId="0" borderId="0" xfId="5" applyNumberFormat="1" applyFont="1"/>
    <xf numFmtId="41" fontId="18" fillId="0" borderId="17" xfId="1" applyFont="1" applyBorder="1"/>
    <xf numFmtId="41" fontId="12" fillId="0" borderId="17" xfId="1" applyFont="1" applyBorder="1"/>
    <xf numFmtId="41" fontId="17" fillId="0" borderId="17" xfId="1" applyFont="1" applyBorder="1"/>
    <xf numFmtId="0" fontId="21" fillId="0" borderId="0" xfId="0" applyFont="1"/>
    <xf numFmtId="41" fontId="21" fillId="0" borderId="0" xfId="0" applyNumberFormat="1" applyFont="1"/>
    <xf numFmtId="41" fontId="22" fillId="0" borderId="0" xfId="0" applyNumberFormat="1" applyFont="1"/>
    <xf numFmtId="164" fontId="21" fillId="0" borderId="0" xfId="2" applyNumberFormat="1" applyFont="1"/>
    <xf numFmtId="164" fontId="21" fillId="0" borderId="0" xfId="0" applyNumberFormat="1" applyFont="1"/>
    <xf numFmtId="41" fontId="23" fillId="0" borderId="0" xfId="6" applyFont="1" applyBorder="1"/>
    <xf numFmtId="41" fontId="23" fillId="0" borderId="0" xfId="6" applyFont="1" applyBorder="1" applyAlignment="1">
      <alignment horizontal="right"/>
    </xf>
    <xf numFmtId="0" fontId="1" fillId="0" borderId="0" xfId="7"/>
    <xf numFmtId="0" fontId="13" fillId="0" borderId="0" xfId="7" applyFont="1" applyAlignment="1">
      <alignment horizontal="center" vertical="top"/>
    </xf>
    <xf numFmtId="0" fontId="13" fillId="0" borderId="0" xfId="7" applyFont="1" applyAlignment="1">
      <alignment horizontal="center"/>
    </xf>
    <xf numFmtId="0" fontId="6" fillId="0" borderId="0" xfId="0" applyFont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41" fontId="18" fillId="0" borderId="1" xfId="6" applyNumberFormat="1" applyFont="1" applyBorder="1"/>
    <xf numFmtId="41" fontId="18" fillId="0" borderId="32" xfId="6" applyNumberFormat="1" applyFont="1" applyBorder="1"/>
    <xf numFmtId="41" fontId="18" fillId="0" borderId="33" xfId="6" applyNumberFormat="1" applyFont="1" applyBorder="1" applyAlignment="1">
      <alignment horizontal="right"/>
    </xf>
    <xf numFmtId="41" fontId="12" fillId="0" borderId="13" xfId="1" applyNumberFormat="1" applyFont="1" applyBorder="1"/>
    <xf numFmtId="41" fontId="12" fillId="0" borderId="2" xfId="1" applyNumberFormat="1" applyFont="1" applyBorder="1"/>
    <xf numFmtId="41" fontId="5" fillId="0" borderId="4" xfId="2" applyNumberFormat="1" applyFont="1" applyBorder="1"/>
    <xf numFmtId="0" fontId="4" fillId="0" borderId="9" xfId="0" applyFont="1" applyBorder="1" applyAlignment="1">
      <alignment wrapText="1"/>
    </xf>
    <xf numFmtId="0" fontId="6" fillId="0" borderId="20" xfId="0" applyFont="1" applyBorder="1" applyAlignment="1">
      <alignment horizontal="right"/>
    </xf>
    <xf numFmtId="41" fontId="13" fillId="0" borderId="1" xfId="1" applyFont="1" applyBorder="1"/>
    <xf numFmtId="16" fontId="4" fillId="0" borderId="0" xfId="0" applyNumberFormat="1" applyFont="1" applyAlignment="1">
      <alignment wrapText="1"/>
    </xf>
    <xf numFmtId="41" fontId="13" fillId="0" borderId="1" xfId="1" applyFont="1" applyBorder="1" applyAlignment="1">
      <alignment wrapText="1"/>
    </xf>
    <xf numFmtId="0" fontId="6" fillId="0" borderId="1" xfId="0" applyFont="1" applyBorder="1" applyAlignment="1">
      <alignment horizontal="right"/>
    </xf>
    <xf numFmtId="41" fontId="26" fillId="0" borderId="1" xfId="1" applyFont="1" applyFill="1" applyBorder="1" applyAlignment="1">
      <alignment horizontal="right"/>
    </xf>
    <xf numFmtId="41" fontId="26" fillId="0" borderId="1" xfId="1" applyFont="1" applyFill="1" applyBorder="1" applyAlignment="1">
      <alignment wrapText="1"/>
    </xf>
    <xf numFmtId="41" fontId="26" fillId="0" borderId="1" xfId="1" applyFont="1" applyFill="1" applyBorder="1"/>
    <xf numFmtId="41" fontId="13" fillId="0" borderId="1" xfId="0" applyNumberFormat="1" applyFont="1" applyBorder="1"/>
    <xf numFmtId="41" fontId="26" fillId="0" borderId="24" xfId="1" applyFont="1" applyFill="1" applyBorder="1"/>
    <xf numFmtId="0" fontId="0" fillId="0" borderId="0" xfId="0"/>
    <xf numFmtId="166" fontId="6" fillId="0" borderId="1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166" fontId="6" fillId="0" borderId="4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1" xfId="2" applyNumberFormat="1" applyFont="1" applyFill="1" applyBorder="1" applyAlignment="1">
      <alignment horizontal="right"/>
    </xf>
    <xf numFmtId="164" fontId="13" fillId="0" borderId="1" xfId="0" applyNumberFormat="1" applyFont="1" applyBorder="1"/>
    <xf numFmtId="41" fontId="28" fillId="0" borderId="1" xfId="1" applyFont="1" applyBorder="1"/>
    <xf numFmtId="41" fontId="8" fillId="0" borderId="0" xfId="1" applyFont="1" applyAlignment="1">
      <alignment horizontal="center"/>
    </xf>
    <xf numFmtId="41" fontId="4" fillId="0" borderId="0" xfId="1" applyFont="1"/>
    <xf numFmtId="41" fontId="5" fillId="0" borderId="4" xfId="1" applyFont="1" applyBorder="1" applyAlignment="1">
      <alignment horizontal="right"/>
    </xf>
    <xf numFmtId="41" fontId="13" fillId="0" borderId="0" xfId="1" applyFont="1" applyAlignment="1">
      <alignment horizontal="center" vertical="top"/>
    </xf>
    <xf numFmtId="41" fontId="13" fillId="0" borderId="0" xfId="1" applyFont="1" applyAlignment="1">
      <alignment horizontal="center"/>
    </xf>
    <xf numFmtId="41" fontId="8" fillId="2" borderId="4" xfId="1" applyFont="1" applyFill="1" applyBorder="1" applyAlignment="1"/>
    <xf numFmtId="41" fontId="4" fillId="0" borderId="0" xfId="0" applyNumberFormat="1" applyFont="1" applyAlignment="1">
      <alignment wrapText="1"/>
    </xf>
    <xf numFmtId="168" fontId="8" fillId="0" borderId="0" xfId="1" applyNumberFormat="1" applyFont="1" applyAlignment="1">
      <alignment horizontal="center"/>
    </xf>
    <xf numFmtId="168" fontId="4" fillId="0" borderId="0" xfId="1" applyNumberFormat="1" applyFont="1"/>
    <xf numFmtId="168" fontId="8" fillId="2" borderId="4" xfId="1" applyNumberFormat="1" applyFont="1" applyFill="1" applyBorder="1" applyAlignment="1">
      <alignment horizontal="center"/>
    </xf>
    <xf numFmtId="168" fontId="6" fillId="0" borderId="4" xfId="1" applyNumberFormat="1" applyFont="1" applyBorder="1" applyAlignment="1">
      <alignment horizontal="right"/>
    </xf>
    <xf numFmtId="168" fontId="6" fillId="0" borderId="4" xfId="1" applyNumberFormat="1" applyFont="1" applyBorder="1" applyAlignment="1"/>
    <xf numFmtId="168" fontId="12" fillId="0" borderId="13" xfId="1" applyNumberFormat="1" applyFont="1" applyBorder="1" applyAlignment="1">
      <alignment wrapText="1"/>
    </xf>
    <xf numFmtId="168" fontId="6" fillId="0" borderId="1" xfId="1" applyNumberFormat="1" applyFont="1" applyBorder="1" applyAlignment="1"/>
    <xf numFmtId="168" fontId="12" fillId="0" borderId="13" xfId="1" applyNumberFormat="1" applyFont="1" applyBorder="1" applyAlignment="1">
      <alignment horizontal="right" wrapText="1"/>
    </xf>
    <xf numFmtId="168" fontId="13" fillId="0" borderId="1" xfId="1" applyNumberFormat="1" applyFont="1" applyBorder="1"/>
    <xf numFmtId="168" fontId="5" fillId="0" borderId="1" xfId="1" applyNumberFormat="1" applyFont="1" applyBorder="1"/>
    <xf numFmtId="168" fontId="5" fillId="0" borderId="4" xfId="1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8" fontId="1" fillId="0" borderId="0" xfId="1" applyNumberFormat="1" applyFont="1"/>
    <xf numFmtId="168" fontId="13" fillId="0" borderId="0" xfId="1" applyNumberFormat="1" applyFont="1" applyAlignment="1">
      <alignment horizontal="center" vertical="top"/>
    </xf>
    <xf numFmtId="168" fontId="13" fillId="0" borderId="0" xfId="1" applyNumberFormat="1" applyFont="1" applyAlignment="1">
      <alignment horizontal="center"/>
    </xf>
    <xf numFmtId="168" fontId="0" fillId="0" borderId="0" xfId="1" applyNumberFormat="1" applyFont="1"/>
    <xf numFmtId="168" fontId="12" fillId="3" borderId="1" xfId="1" applyNumberFormat="1" applyFont="1" applyFill="1" applyBorder="1" applyAlignment="1">
      <alignment horizontal="right" wrapText="1"/>
    </xf>
    <xf numFmtId="41" fontId="4" fillId="0" borderId="9" xfId="1" applyFont="1" applyBorder="1"/>
    <xf numFmtId="41" fontId="4" fillId="0" borderId="0" xfId="1" applyFont="1" applyBorder="1"/>
    <xf numFmtId="168" fontId="12" fillId="0" borderId="1" xfId="1" applyNumberFormat="1" applyFont="1" applyBorder="1"/>
    <xf numFmtId="168" fontId="6" fillId="0" borderId="1" xfId="1" applyNumberFormat="1" applyFont="1" applyBorder="1" applyAlignment="1">
      <alignment horizontal="right"/>
    </xf>
    <xf numFmtId="168" fontId="5" fillId="0" borderId="11" xfId="1" applyNumberFormat="1" applyFont="1" applyBorder="1" applyAlignment="1">
      <alignment horizontal="right"/>
    </xf>
    <xf numFmtId="0" fontId="13" fillId="0" borderId="0" xfId="7" applyFont="1" applyAlignment="1">
      <alignment horizontal="center" vertical="top"/>
    </xf>
    <xf numFmtId="41" fontId="21" fillId="0" borderId="0" xfId="1" applyFont="1"/>
    <xf numFmtId="41" fontId="29" fillId="0" borderId="0" xfId="1" applyFont="1"/>
    <xf numFmtId="41" fontId="27" fillId="0" borderId="0" xfId="1" applyFont="1"/>
    <xf numFmtId="41" fontId="6" fillId="0" borderId="14" xfId="1" applyFont="1" applyBorder="1" applyAlignment="1">
      <alignment horizontal="right"/>
    </xf>
    <xf numFmtId="41" fontId="12" fillId="0" borderId="5" xfId="1" applyNumberFormat="1" applyFont="1" applyBorder="1"/>
    <xf numFmtId="41" fontId="13" fillId="0" borderId="3" xfId="0" applyNumberFormat="1" applyFont="1" applyBorder="1"/>
    <xf numFmtId="41" fontId="26" fillId="0" borderId="15" xfId="1" applyFont="1" applyBorder="1"/>
    <xf numFmtId="41" fontId="4" fillId="0" borderId="9" xfId="0" applyNumberFormat="1" applyFont="1" applyBorder="1" applyAlignment="1">
      <alignment wrapText="1"/>
    </xf>
    <xf numFmtId="0" fontId="5" fillId="2" borderId="16" xfId="0" applyFont="1" applyFill="1" applyBorder="1" applyAlignment="1">
      <alignment horizontal="center"/>
    </xf>
    <xf numFmtId="43" fontId="5" fillId="0" borderId="1" xfId="2" applyNumberFormat="1" applyFont="1" applyBorder="1"/>
    <xf numFmtId="41" fontId="13" fillId="0" borderId="5" xfId="1" applyFont="1" applyBorder="1"/>
    <xf numFmtId="164" fontId="5" fillId="0" borderId="1" xfId="2" applyNumberFormat="1" applyFont="1" applyBorder="1"/>
    <xf numFmtId="43" fontId="13" fillId="0" borderId="1" xfId="0" applyNumberFormat="1" applyFont="1" applyBorder="1"/>
    <xf numFmtId="165" fontId="13" fillId="0" borderId="19" xfId="1" applyNumberFormat="1" applyFont="1" applyBorder="1"/>
    <xf numFmtId="165" fontId="5" fillId="0" borderId="11" xfId="1" applyNumberFormat="1" applyFont="1" applyBorder="1" applyAlignment="1">
      <alignment horizontal="right"/>
    </xf>
    <xf numFmtId="165" fontId="13" fillId="0" borderId="15" xfId="1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top"/>
    </xf>
    <xf numFmtId="0" fontId="13" fillId="0" borderId="0" xfId="7" applyFont="1" applyAlignment="1">
      <alignment horizontal="center" vertical="top"/>
    </xf>
    <xf numFmtId="0" fontId="4" fillId="0" borderId="9" xfId="0" applyFont="1" applyBorder="1" applyAlignment="1">
      <alignment wrapText="1"/>
    </xf>
    <xf numFmtId="168" fontId="8" fillId="2" borderId="5" xfId="1" applyNumberFormat="1" applyFont="1" applyFill="1" applyBorder="1" applyAlignment="1">
      <alignment horizontal="center" vertical="center" wrapText="1"/>
    </xf>
    <xf numFmtId="168" fontId="8" fillId="2" borderId="3" xfId="1" applyNumberFormat="1" applyFont="1" applyFill="1" applyBorder="1" applyAlignment="1">
      <alignment horizontal="center" vertical="center" wrapText="1"/>
    </xf>
    <xf numFmtId="168" fontId="20" fillId="0" borderId="0" xfId="1" applyNumberFormat="1" applyFont="1" applyAlignment="1">
      <alignment horizontal="center"/>
    </xf>
    <xf numFmtId="41" fontId="8" fillId="2" borderId="5" xfId="1" applyFont="1" applyFill="1" applyBorder="1" applyAlignment="1">
      <alignment horizontal="center" vertical="center" wrapText="1"/>
    </xf>
    <xf numFmtId="41" fontId="8" fillId="2" borderId="3" xfId="1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/>
    </xf>
    <xf numFmtId="0" fontId="7" fillId="0" borderId="23" xfId="0" applyFont="1" applyBorder="1"/>
    <xf numFmtId="0" fontId="6" fillId="0" borderId="15" xfId="0" applyFont="1" applyBorder="1"/>
    <xf numFmtId="0" fontId="6" fillId="0" borderId="13" xfId="0" applyFont="1" applyBorder="1"/>
    <xf numFmtId="0" fontId="6" fillId="0" borderId="15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4" fillId="0" borderId="14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6" xfId="0" applyFont="1" applyBorder="1"/>
    <xf numFmtId="0" fontId="6" fillId="0" borderId="21" xfId="0" applyFont="1" applyBorder="1"/>
    <xf numFmtId="0" fontId="17" fillId="0" borderId="22" xfId="5" applyFont="1" applyBorder="1" applyAlignment="1">
      <alignment horizontal="center" vertical="center" wrapText="1"/>
    </xf>
    <xf numFmtId="0" fontId="17" fillId="0" borderId="29" xfId="5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17" fillId="0" borderId="31" xfId="5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0" xfId="5" applyFont="1" applyAlignment="1">
      <alignment horizontal="center"/>
    </xf>
    <xf numFmtId="0" fontId="17" fillId="0" borderId="27" xfId="5" applyFont="1" applyBorder="1" applyAlignment="1">
      <alignment horizontal="center" vertical="center"/>
    </xf>
    <xf numFmtId="0" fontId="17" fillId="0" borderId="28" xfId="5" applyFont="1" applyBorder="1" applyAlignment="1">
      <alignment horizontal="center" vertical="center"/>
    </xf>
  </cellXfs>
  <cellStyles count="13">
    <cellStyle name="Comma" xfId="2" builtinId="3"/>
    <cellStyle name="Comma [0]" xfId="1" builtinId="6"/>
    <cellStyle name="Comma [0] 2" xfId="3"/>
    <cellStyle name="Comma [0] 3" xfId="8"/>
    <cellStyle name="Comma [0] 4" xfId="6"/>
    <cellStyle name="Comma [0] 4 2" xfId="12"/>
    <cellStyle name="Comma 2" xfId="4"/>
    <cellStyle name="Normal" xfId="0" builtinId="0"/>
    <cellStyle name="Normal 2" xfId="5"/>
    <cellStyle name="Normal 2 2" xfId="10"/>
    <cellStyle name="Normal 3" xfId="7"/>
    <cellStyle name="Normal 3 2" xfId="11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NAS%20PERIKANAN/DINAS%20PERIKANAN%20TA%202023/Produksi%20Garam%20Tambak%20Kab%20Brebes%20Tahu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NAS%20PERIKANAN/Dinas%20Perikanan%20TA%202022/DATA%20PRODUKSI%20USPER%202022/PRODUKSI%20PENGOLAHAN%20TAHUN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Bulanan"/>
      <sheetName val="Lahan Integrasi"/>
      <sheetName val="Lahan Non Integrasi"/>
      <sheetName val="Grafik"/>
    </sheetNames>
    <sheetDataSet>
      <sheetData sheetId="0">
        <row r="15">
          <cell r="G15">
            <v>36690</v>
          </cell>
          <cell r="I15">
            <v>130943700</v>
          </cell>
          <cell r="J15">
            <v>520527</v>
          </cell>
          <cell r="L15">
            <v>1383201800</v>
          </cell>
          <cell r="M15">
            <v>4071815</v>
          </cell>
          <cell r="O15">
            <v>3691845890</v>
          </cell>
          <cell r="P15">
            <v>9914766</v>
          </cell>
          <cell r="R15">
            <v>9251927850</v>
          </cell>
          <cell r="S15">
            <v>8994745</v>
          </cell>
          <cell r="U15">
            <v>7860203925</v>
          </cell>
          <cell r="Y15">
            <v>242584</v>
          </cell>
          <cell r="AA15">
            <v>272870250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.1"/>
      <sheetName val="APRIL"/>
      <sheetName val="MEI "/>
      <sheetName val="JUNI "/>
      <sheetName val="TW. 2"/>
      <sheetName val="Juli"/>
      <sheetName val="Agsts"/>
      <sheetName val="Sep"/>
      <sheetName val="TW.3"/>
      <sheetName val="Okt"/>
      <sheetName val="Nov"/>
      <sheetName val="Desember"/>
      <sheetName val="REKAPAN JAN-DES"/>
      <sheetName val="CS"/>
      <sheetName val="Garam Non Tambak"/>
      <sheetName val="Garam Tambak"/>
      <sheetName val="Sheet1"/>
      <sheetName val="Cold Storage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7">
          <cell r="I307">
            <v>10525</v>
          </cell>
          <cell r="J307">
            <v>3157500000</v>
          </cell>
        </row>
        <row r="310">
          <cell r="G310">
            <v>399089.5</v>
          </cell>
        </row>
      </sheetData>
      <sheetData sheetId="5" refreshError="1"/>
      <sheetData sheetId="6" refreshError="1"/>
      <sheetData sheetId="7" refreshError="1"/>
      <sheetData sheetId="8">
        <row r="379">
          <cell r="G379">
            <v>428602.60000000003</v>
          </cell>
        </row>
      </sheetData>
      <sheetData sheetId="9">
        <row r="369">
          <cell r="G369">
            <v>451473.4</v>
          </cell>
        </row>
        <row r="371">
          <cell r="I371">
            <v>12500</v>
          </cell>
          <cell r="J371">
            <v>2125000000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5"/>
  <sheetViews>
    <sheetView showWhiteSpace="0" zoomScale="70" zoomScaleNormal="70" zoomScalePageLayoutView="77" workbookViewId="0">
      <selection activeCell="G24" sqref="G24"/>
    </sheetView>
  </sheetViews>
  <sheetFormatPr defaultColWidth="9" defaultRowHeight="15"/>
  <cols>
    <col min="1" max="1" width="30" bestFit="1" customWidth="1"/>
    <col min="2" max="3" width="25.42578125" customWidth="1"/>
    <col min="5" max="5" width="35.42578125" customWidth="1"/>
    <col min="6" max="6" width="20.140625" customWidth="1"/>
    <col min="7" max="7" width="19.5703125" customWidth="1"/>
    <col min="9" max="9" width="24.5703125" bestFit="1" customWidth="1"/>
    <col min="10" max="10" width="19" customWidth="1"/>
    <col min="11" max="11" width="23.42578125" customWidth="1"/>
  </cols>
  <sheetData>
    <row r="1" spans="1:11">
      <c r="A1" s="297" t="s">
        <v>0</v>
      </c>
      <c r="B1" s="297"/>
      <c r="C1" s="297"/>
      <c r="D1" s="13"/>
      <c r="E1" s="298" t="s">
        <v>0</v>
      </c>
      <c r="F1" s="298"/>
      <c r="G1" s="298"/>
      <c r="I1" s="298" t="s">
        <v>0</v>
      </c>
      <c r="J1" s="298"/>
      <c r="K1" s="298"/>
    </row>
    <row r="2" spans="1:11">
      <c r="A2" s="297" t="s">
        <v>17</v>
      </c>
      <c r="B2" s="297"/>
      <c r="C2" s="297"/>
      <c r="D2" s="13"/>
      <c r="E2" s="298" t="s">
        <v>17</v>
      </c>
      <c r="F2" s="298"/>
      <c r="G2" s="298"/>
      <c r="I2" s="298" t="s">
        <v>17</v>
      </c>
      <c r="J2" s="298"/>
      <c r="K2" s="298"/>
    </row>
    <row r="3" spans="1:11">
      <c r="A3" s="297" t="s">
        <v>96</v>
      </c>
      <c r="B3" s="297"/>
      <c r="C3" s="297"/>
      <c r="D3" s="13"/>
      <c r="E3" s="298" t="s">
        <v>114</v>
      </c>
      <c r="F3" s="298"/>
      <c r="G3" s="298"/>
      <c r="I3" s="298" t="s">
        <v>115</v>
      </c>
      <c r="J3" s="298"/>
      <c r="K3" s="298"/>
    </row>
    <row r="4" spans="1:11">
      <c r="A4" s="176"/>
      <c r="B4" s="176"/>
      <c r="C4" s="176"/>
      <c r="D4" s="13"/>
      <c r="E4" s="13"/>
    </row>
    <row r="5" spans="1:11" ht="15.75" thickBot="1">
      <c r="A5" s="173"/>
      <c r="B5" s="173"/>
      <c r="C5" s="173"/>
      <c r="D5" s="13"/>
      <c r="E5" s="110"/>
      <c r="I5" s="110"/>
    </row>
    <row r="6" spans="1:11" ht="63" customHeight="1">
      <c r="A6" s="299" t="s">
        <v>28</v>
      </c>
      <c r="B6" s="299" t="s">
        <v>29</v>
      </c>
      <c r="C6" s="299" t="s">
        <v>30</v>
      </c>
      <c r="D6" s="13"/>
      <c r="E6" s="302" t="s">
        <v>104</v>
      </c>
      <c r="F6" s="294" t="s">
        <v>29</v>
      </c>
      <c r="G6" s="294" t="s">
        <v>30</v>
      </c>
      <c r="I6" s="302" t="s">
        <v>105</v>
      </c>
      <c r="J6" s="294" t="s">
        <v>29</v>
      </c>
      <c r="K6" s="294" t="s">
        <v>30</v>
      </c>
    </row>
    <row r="7" spans="1:11" ht="15.75" thickBot="1">
      <c r="A7" s="300"/>
      <c r="B7" s="301"/>
      <c r="C7" s="300"/>
      <c r="D7" s="13"/>
      <c r="E7" s="303"/>
      <c r="F7" s="295"/>
      <c r="G7" s="296"/>
      <c r="I7" s="303"/>
      <c r="J7" s="295"/>
      <c r="K7" s="296"/>
    </row>
    <row r="8" spans="1:11" ht="16.5" thickBot="1">
      <c r="A8" s="166" t="s">
        <v>14</v>
      </c>
      <c r="B8" s="167" t="s">
        <v>15</v>
      </c>
      <c r="C8" s="167" t="s">
        <v>16</v>
      </c>
      <c r="D8" s="13"/>
      <c r="E8" s="11" t="s">
        <v>14</v>
      </c>
      <c r="F8" s="12" t="s">
        <v>15</v>
      </c>
      <c r="G8" s="12" t="s">
        <v>16</v>
      </c>
      <c r="I8" s="11" t="s">
        <v>14</v>
      </c>
      <c r="J8" s="12" t="s">
        <v>15</v>
      </c>
      <c r="K8" s="12" t="s">
        <v>16</v>
      </c>
    </row>
    <row r="9" spans="1:11" ht="16.5" thickBot="1">
      <c r="A9" s="168" t="s">
        <v>18</v>
      </c>
      <c r="B9" s="169">
        <f>SUM(F9+J9)</f>
        <v>71782</v>
      </c>
      <c r="C9" s="169">
        <f>SUM(G9+K9)</f>
        <v>1042544.5</v>
      </c>
      <c r="D9" s="13"/>
      <c r="E9" s="120" t="s">
        <v>18</v>
      </c>
      <c r="F9" s="121">
        <f>SUM(5804+4570+5043+4704+4700+2475+1567+2276)</f>
        <v>31139</v>
      </c>
      <c r="G9" s="121">
        <f>SUM(115838000+95160000+95084000+86884000+92600000+51650000+31506000+47848000)/1000</f>
        <v>616570</v>
      </c>
      <c r="I9" s="155" t="s">
        <v>18</v>
      </c>
      <c r="J9" s="156">
        <f>SUM(4958+4049+14678+3004+3214+4750+4435+1555)</f>
        <v>40643</v>
      </c>
      <c r="K9" s="156">
        <f>SUM(50000000+25854500+114000000+40000000+60700000+50000000+42520000+42900000)/1000</f>
        <v>425974.5</v>
      </c>
    </row>
    <row r="10" spans="1:11" ht="16.5" thickBot="1">
      <c r="A10" s="168" t="s">
        <v>19</v>
      </c>
      <c r="B10" s="169">
        <f t="shared" ref="B10:C18" si="0">SUM(F10+J10)</f>
        <v>1511533</v>
      </c>
      <c r="C10" s="169">
        <f t="shared" si="0"/>
        <v>12981752</v>
      </c>
      <c r="D10" s="13"/>
      <c r="E10" s="120" t="s">
        <v>19</v>
      </c>
      <c r="F10" s="121">
        <f>SUM(59681+57372+59492+36073+30481+25398+34727+26524)</f>
        <v>329748</v>
      </c>
      <c r="G10" s="121">
        <f>SUM(730004250+679837000+678011250+436851000+377813500+297495000+457967500+307409500)/1000</f>
        <v>3965389</v>
      </c>
      <c r="I10" s="155" t="s">
        <v>19</v>
      </c>
      <c r="J10" s="156">
        <f>SUM(52731+153720+183771+141235+142169+224532+161678+121949)</f>
        <v>1181785</v>
      </c>
      <c r="K10" s="156">
        <f>SUM(544700000+1149900000+1784600000+992800000+1156850000+1664800000+1194713000+528000000)/1000</f>
        <v>9016363</v>
      </c>
    </row>
    <row r="11" spans="1:11" ht="16.5" thickBot="1">
      <c r="A11" s="168" t="s">
        <v>20</v>
      </c>
      <c r="B11" s="169">
        <f t="shared" si="0"/>
        <v>629732</v>
      </c>
      <c r="C11" s="169">
        <f t="shared" si="0"/>
        <v>6695672</v>
      </c>
      <c r="D11" s="13"/>
      <c r="E11" s="120" t="s">
        <v>20</v>
      </c>
      <c r="F11" s="121">
        <f>SUM(69346+63899+35902+25215+21286+19290+44662+50641)</f>
        <v>330241</v>
      </c>
      <c r="G11" s="121">
        <f>SUM(503956000+505441000+499776000+494711600+487189800+485146000+525958200+535691000)/1000</f>
        <v>4037869.6</v>
      </c>
      <c r="I11" s="155" t="s">
        <v>20</v>
      </c>
      <c r="J11" s="156">
        <f>SUM(64150+14390+25463+24734+34850+40694+39748+55462)</f>
        <v>299491</v>
      </c>
      <c r="K11" s="156">
        <f>SUM(607907000+108950000+186350000+215200000+315200000+364330000+365135400+494730000)/1000</f>
        <v>2657802.4</v>
      </c>
    </row>
    <row r="12" spans="1:11" ht="16.5" thickBot="1">
      <c r="A12" s="168" t="s">
        <v>21</v>
      </c>
      <c r="B12" s="169">
        <f t="shared" si="0"/>
        <v>129694</v>
      </c>
      <c r="C12" s="169">
        <f t="shared" si="0"/>
        <v>3250491</v>
      </c>
      <c r="D12" s="13"/>
      <c r="E12" s="120" t="s">
        <v>21</v>
      </c>
      <c r="F12" s="121">
        <f>SUM(23437+15240+15365+14011+13000+13250+15446+17060)</f>
        <v>126809</v>
      </c>
      <c r="G12" s="121">
        <f>SUM(641994000+389280000+380870000+348878000+320400000+322900000+375100000+380600000)/1000</f>
        <v>3160022</v>
      </c>
      <c r="I12" s="155" t="s">
        <v>21</v>
      </c>
      <c r="J12" s="156">
        <f>SUM(0+0+0+0+2885+0+0+0)</f>
        <v>2885</v>
      </c>
      <c r="K12" s="156">
        <f>SUM(0+0+0+0+90469000+0+0+0)/1000</f>
        <v>90469</v>
      </c>
    </row>
    <row r="13" spans="1:11" ht="16.5" thickBot="1">
      <c r="A13" s="168" t="s">
        <v>22</v>
      </c>
      <c r="B13" s="169">
        <f t="shared" si="0"/>
        <v>363521</v>
      </c>
      <c r="C13" s="169">
        <f t="shared" si="0"/>
        <v>7831821</v>
      </c>
      <c r="D13" s="13"/>
      <c r="E13" s="120" t="s">
        <v>22</v>
      </c>
      <c r="F13" s="121">
        <f>SUM(22657+15113+16640+14296+14050+15950+17200+16650)</f>
        <v>132556</v>
      </c>
      <c r="G13" s="121">
        <f>SUM(540170000+337554000+408460000+356992000+330900000+361100000+390400000+415700000)/1000</f>
        <v>3141276</v>
      </c>
      <c r="I13" s="155" t="s">
        <v>22</v>
      </c>
      <c r="J13" s="156">
        <f>SUM(30611+0+45558+35764+27618+28096+35668+27650)</f>
        <v>230965</v>
      </c>
      <c r="K13" s="156">
        <f>SUM(1044688000+0+1413231000+481958000+754417500+299752500+392348000+304150000)/1000</f>
        <v>4690545</v>
      </c>
    </row>
    <row r="14" spans="1:11" ht="16.5" thickBot="1">
      <c r="A14" s="168" t="s">
        <v>23</v>
      </c>
      <c r="B14" s="169">
        <f t="shared" si="0"/>
        <v>0</v>
      </c>
      <c r="C14" s="169">
        <f t="shared" si="0"/>
        <v>0</v>
      </c>
      <c r="D14" s="13"/>
      <c r="E14" s="6" t="s">
        <v>23</v>
      </c>
      <c r="F14" s="31">
        <v>0</v>
      </c>
      <c r="G14" s="31">
        <v>0</v>
      </c>
      <c r="I14" s="6" t="s">
        <v>23</v>
      </c>
      <c r="J14" s="31">
        <v>0</v>
      </c>
      <c r="K14" s="31">
        <v>0</v>
      </c>
    </row>
    <row r="15" spans="1:11" ht="16.5" thickBot="1">
      <c r="A15" s="168" t="s">
        <v>24</v>
      </c>
      <c r="B15" s="169">
        <f t="shared" si="0"/>
        <v>102315</v>
      </c>
      <c r="C15" s="169">
        <f t="shared" si="0"/>
        <v>2646138.2719999999</v>
      </c>
      <c r="D15" s="13"/>
      <c r="E15" s="120" t="s">
        <v>24</v>
      </c>
      <c r="F15" s="121">
        <f>SUM(9305+8200+7419+6899+6700+3700+4900+4650)</f>
        <v>51773</v>
      </c>
      <c r="G15" s="121">
        <f>SUM(418725000+369000000+333855000+310455000+301500000+166500000+220500000+209250000)/1000</f>
        <v>2329785</v>
      </c>
      <c r="I15" s="155" t="s">
        <v>24</v>
      </c>
      <c r="J15" s="156">
        <f>SUM(4395+4048+5422+6724+4848+8875+5630+10600)</f>
        <v>50542</v>
      </c>
      <c r="K15" s="156">
        <f>SUM(26727272+25854000+47272000+41000000+42800000+55000000+37700000+40000000)/1000</f>
        <v>316353.272</v>
      </c>
    </row>
    <row r="16" spans="1:11" ht="16.5" thickBot="1">
      <c r="A16" s="168" t="s">
        <v>25</v>
      </c>
      <c r="B16" s="169">
        <f t="shared" si="0"/>
        <v>525</v>
      </c>
      <c r="C16" s="169">
        <f t="shared" si="0"/>
        <v>6300</v>
      </c>
      <c r="D16" s="13"/>
      <c r="E16" s="120" t="s">
        <v>25</v>
      </c>
      <c r="F16" s="121">
        <f>SUM(25+30+35+45+60+55+120+155)</f>
        <v>525</v>
      </c>
      <c r="G16" s="121">
        <f>SUM(300000+360000+420000+540000+720000+660000+1440000+1860000)/1000</f>
        <v>6300</v>
      </c>
      <c r="I16" s="6" t="s">
        <v>25</v>
      </c>
      <c r="J16" s="31">
        <v>0</v>
      </c>
      <c r="K16" s="31">
        <v>0</v>
      </c>
    </row>
    <row r="17" spans="1:11" ht="16.5" thickBot="1">
      <c r="A17" s="168" t="s">
        <v>26</v>
      </c>
      <c r="B17" s="169">
        <f t="shared" si="0"/>
        <v>11332</v>
      </c>
      <c r="C17" s="169">
        <f t="shared" si="0"/>
        <v>560580</v>
      </c>
      <c r="D17" s="13"/>
      <c r="E17" s="120" t="s">
        <v>26</v>
      </c>
      <c r="F17" s="121">
        <f>SUM(1064+1023+1465+1430+1670+1440+1580+1660)</f>
        <v>11332</v>
      </c>
      <c r="G17" s="121">
        <f>SUM(78750000+66130000+61500000+98000000+91800000+45000000+58800000+60600000)/1000</f>
        <v>560580</v>
      </c>
      <c r="I17" s="6" t="s">
        <v>26</v>
      </c>
      <c r="J17" s="31">
        <v>0</v>
      </c>
      <c r="K17" s="31">
        <v>0</v>
      </c>
    </row>
    <row r="18" spans="1:11" ht="16.5" thickBot="1">
      <c r="A18" s="168" t="s">
        <v>27</v>
      </c>
      <c r="B18" s="169">
        <f t="shared" si="0"/>
        <v>0</v>
      </c>
      <c r="C18" s="169">
        <f t="shared" si="0"/>
        <v>0</v>
      </c>
      <c r="D18" s="13"/>
      <c r="E18" s="6" t="s">
        <v>27</v>
      </c>
      <c r="F18" s="31">
        <v>0</v>
      </c>
      <c r="G18" s="31">
        <v>0</v>
      </c>
      <c r="I18" s="6" t="s">
        <v>27</v>
      </c>
      <c r="J18" s="31">
        <v>0</v>
      </c>
      <c r="K18" s="31">
        <v>0</v>
      </c>
    </row>
    <row r="19" spans="1:11" ht="16.5" thickBot="1">
      <c r="A19" s="170" t="s">
        <v>98</v>
      </c>
      <c r="B19" s="171">
        <f>SUM(B9+B10+B11+B12+B13+B14+B15+B16+B17+B18+F19+F20+F21+F22+F23)</f>
        <v>2853801</v>
      </c>
      <c r="C19" s="171">
        <f>SUM(C9+C10+C11+C12+C13+C14+C15+C16+C17+C18+G19+G20+G21+G22+G23)</f>
        <v>35711912.772</v>
      </c>
      <c r="D19" s="13"/>
      <c r="E19" s="163" t="s">
        <v>109</v>
      </c>
      <c r="F19" s="164">
        <f>SUM(1501+1537+1547+1400+1328+1405+1622+1595)</f>
        <v>11935</v>
      </c>
      <c r="G19" s="164">
        <f>SUM(51705000+54360000+56160000+51300000+48210000+51525000+59670000+59475000)/1000</f>
        <v>432405</v>
      </c>
      <c r="I19" s="7" t="s">
        <v>98</v>
      </c>
      <c r="J19" s="36">
        <f>SUM(J9:J18)</f>
        <v>1806311</v>
      </c>
      <c r="K19" s="36">
        <f>SUM(K9:K18)</f>
        <v>17197507.171999998</v>
      </c>
    </row>
    <row r="20" spans="1:11" ht="16.5" thickBot="1">
      <c r="A20" s="170">
        <v>2021</v>
      </c>
      <c r="B20" s="172">
        <v>3675474</v>
      </c>
      <c r="C20" s="172">
        <v>47817447</v>
      </c>
      <c r="D20" s="13"/>
      <c r="E20" s="163" t="s">
        <v>110</v>
      </c>
      <c r="F20" s="164">
        <f>SUM(1665+1648+1830+1825+1680+1520+1490+2000)</f>
        <v>13658</v>
      </c>
      <c r="G20" s="164">
        <f>SUM(13645000+14645000+17285000+17585000+15245000+15245000+17445000+18645000)/1000</f>
        <v>129740</v>
      </c>
    </row>
    <row r="21" spans="1:11" ht="16.5" thickBot="1">
      <c r="A21" s="170">
        <v>2020</v>
      </c>
      <c r="B21" s="172">
        <v>3827110</v>
      </c>
      <c r="C21" s="172">
        <v>35263708</v>
      </c>
      <c r="D21" s="13"/>
      <c r="E21" s="165" t="s">
        <v>111</v>
      </c>
      <c r="F21" s="164">
        <f>SUM(424+460+560+550+490+340+407+530)</f>
        <v>3761</v>
      </c>
      <c r="G21" s="164">
        <f>SUM(9387000+9960000+11940000+10650000+10200000+7340000+7756000+10220000)/1000</f>
        <v>77453</v>
      </c>
    </row>
    <row r="22" spans="1:11" ht="16.5" thickBot="1">
      <c r="A22" s="170">
        <v>2019</v>
      </c>
      <c r="B22" s="172">
        <v>3897601</v>
      </c>
      <c r="C22" s="172">
        <v>35649385</v>
      </c>
      <c r="D22" s="13"/>
      <c r="E22" s="165" t="s">
        <v>112</v>
      </c>
      <c r="F22" s="164">
        <f>SUM(55+55+95+150+170+140+263+335)</f>
        <v>1263</v>
      </c>
      <c r="G22" s="164">
        <f>SUM(1250000+1525000+2175000+3250000+4500000+3675000+5710000+8950000)/1000</f>
        <v>31035</v>
      </c>
    </row>
    <row r="23" spans="1:11" ht="16.5" thickBot="1">
      <c r="A23" s="170">
        <v>2018</v>
      </c>
      <c r="B23" s="172">
        <v>3027414</v>
      </c>
      <c r="C23" s="172">
        <v>31786526</v>
      </c>
      <c r="D23" s="13"/>
      <c r="E23" s="165" t="s">
        <v>113</v>
      </c>
      <c r="F23" s="164">
        <f>SUM(300+320+370+380+449+305+331+295)</f>
        <v>2750</v>
      </c>
      <c r="G23" s="164">
        <f>SUM(2820000+3055000+3540000+3606000+4305000+2775000+3220000+2660000)/1000</f>
        <v>25981</v>
      </c>
    </row>
    <row r="24" spans="1:11" ht="16.5" thickBot="1">
      <c r="A24" s="173"/>
      <c r="B24" s="173"/>
      <c r="C24" s="173"/>
      <c r="D24" s="13"/>
      <c r="E24" s="7" t="s">
        <v>98</v>
      </c>
      <c r="F24" s="36">
        <f>SUM(F9:F23)</f>
        <v>1047490</v>
      </c>
      <c r="G24" s="98">
        <f>SUM(G9:G23)</f>
        <v>18514405.600000001</v>
      </c>
    </row>
    <row r="25" spans="1:11">
      <c r="A25" s="173"/>
      <c r="B25" s="173"/>
      <c r="C25" s="173"/>
      <c r="D25" s="13"/>
    </row>
    <row r="26" spans="1:11">
      <c r="A26" s="174" t="s">
        <v>31</v>
      </c>
      <c r="B26" s="174"/>
      <c r="C26" s="174"/>
      <c r="D26" s="13"/>
    </row>
    <row r="27" spans="1:11">
      <c r="D27" s="13"/>
    </row>
    <row r="28" spans="1:11" ht="15.75">
      <c r="B28" s="117"/>
      <c r="C28" s="117"/>
      <c r="D28" s="13"/>
      <c r="G28" s="175">
        <f>(18495240600)/1000</f>
        <v>18495240.600000001</v>
      </c>
    </row>
    <row r="29" spans="1:11">
      <c r="D29" s="118"/>
      <c r="E29" s="13"/>
      <c r="F29" s="113">
        <f>G24-G28</f>
        <v>19165</v>
      </c>
    </row>
    <row r="30" spans="1:11">
      <c r="E30" s="13"/>
    </row>
    <row r="31" spans="1:11">
      <c r="E31" s="13"/>
    </row>
    <row r="39" spans="5:7" ht="15.75">
      <c r="E39" s="27"/>
      <c r="F39" s="112"/>
      <c r="G39" s="112"/>
    </row>
    <row r="40" spans="5:7" ht="15.75">
      <c r="E40" s="27"/>
      <c r="F40" s="112"/>
      <c r="G40" s="112"/>
    </row>
    <row r="41" spans="5:7" ht="15.75">
      <c r="E41" s="27"/>
      <c r="F41" s="112"/>
      <c r="G41" s="112"/>
    </row>
    <row r="42" spans="5:7" ht="15.75">
      <c r="E42" s="27"/>
      <c r="F42" s="112"/>
      <c r="G42" s="112"/>
    </row>
    <row r="43" spans="5:7" ht="15.75">
      <c r="E43" s="27"/>
      <c r="F43" s="112"/>
      <c r="G43" s="112"/>
    </row>
    <row r="44" spans="5:7" ht="15.75">
      <c r="E44" s="27"/>
      <c r="F44" s="112"/>
      <c r="G44" s="112"/>
    </row>
    <row r="45" spans="5:7">
      <c r="F45" s="109"/>
      <c r="G45" s="109"/>
    </row>
  </sheetData>
  <mergeCells count="18">
    <mergeCell ref="A1:C1"/>
    <mergeCell ref="E1:G1"/>
    <mergeCell ref="I1:K1"/>
    <mergeCell ref="A2:C2"/>
    <mergeCell ref="E2:G2"/>
    <mergeCell ref="I2:K2"/>
    <mergeCell ref="J6:J7"/>
    <mergeCell ref="K6:K7"/>
    <mergeCell ref="A3:C3"/>
    <mergeCell ref="E3:G3"/>
    <mergeCell ref="I3:K3"/>
    <mergeCell ref="A6:A7"/>
    <mergeCell ref="B6:B7"/>
    <mergeCell ref="C6:C7"/>
    <mergeCell ref="E6:E7"/>
    <mergeCell ref="F6:F7"/>
    <mergeCell ref="G6:G7"/>
    <mergeCell ref="I6:I7"/>
  </mergeCells>
  <pageMargins left="0.70866141732283472" right="0.70866141732283472" top="0.74803149606299213" bottom="0.74803149606299213" header="0.31496062992125984" footer="0.31496062992125984"/>
  <pageSetup paperSize="5" scale="6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topLeftCell="A14" zoomScale="90" zoomScaleNormal="90" workbookViewId="0">
      <selection activeCell="F32" sqref="F32"/>
    </sheetView>
  </sheetViews>
  <sheetFormatPr defaultColWidth="9" defaultRowHeight="15"/>
  <cols>
    <col min="1" max="1" width="27.7109375" customWidth="1"/>
    <col min="2" max="2" width="25.42578125" customWidth="1"/>
    <col min="3" max="3" width="23" customWidth="1"/>
    <col min="6" max="6" width="9.7109375" bestFit="1" customWidth="1"/>
    <col min="7" max="7" width="11" bestFit="1" customWidth="1"/>
    <col min="11" max="11" width="9.5703125" bestFit="1" customWidth="1"/>
  </cols>
  <sheetData>
    <row r="1" spans="1:11" ht="15" customHeight="1">
      <c r="A1" s="304" t="s">
        <v>0</v>
      </c>
      <c r="B1" s="304"/>
      <c r="C1" s="304"/>
      <c r="D1" s="2"/>
    </row>
    <row r="2" spans="1:11" ht="15.75">
      <c r="A2" s="304" t="s">
        <v>108</v>
      </c>
      <c r="B2" s="304"/>
      <c r="C2" s="304"/>
      <c r="D2" s="2"/>
    </row>
    <row r="3" spans="1:11" ht="15.75">
      <c r="A3" s="304" t="s">
        <v>97</v>
      </c>
      <c r="B3" s="304"/>
      <c r="C3" s="304"/>
      <c r="D3" s="2"/>
    </row>
    <row r="4" spans="1:11" ht="15.75">
      <c r="A4" s="101"/>
      <c r="B4" s="101"/>
      <c r="C4" s="101"/>
      <c r="D4" s="24"/>
    </row>
    <row r="5" spans="1:11" ht="15.75" thickBot="1">
      <c r="A5" s="107" t="s">
        <v>102</v>
      </c>
      <c r="B5" s="2"/>
      <c r="C5" s="2"/>
      <c r="D5" s="2"/>
    </row>
    <row r="6" spans="1:11" ht="32.25" thickBot="1">
      <c r="A6" s="10" t="s">
        <v>59</v>
      </c>
      <c r="B6" s="9" t="s">
        <v>29</v>
      </c>
      <c r="C6" s="9" t="s">
        <v>34</v>
      </c>
      <c r="D6" s="2"/>
    </row>
    <row r="7" spans="1:11" ht="16.5" thickBot="1">
      <c r="A7" s="17">
        <v>1</v>
      </c>
      <c r="B7" s="18">
        <v>2</v>
      </c>
      <c r="C7" s="18">
        <v>3</v>
      </c>
      <c r="D7" s="2"/>
    </row>
    <row r="8" spans="1:11" ht="16.5" thickBot="1">
      <c r="A8" s="6" t="s">
        <v>2</v>
      </c>
      <c r="B8" s="157">
        <f>SUM(200+525+15+50+15+40+150+10+32+65+193)</f>
        <v>1295</v>
      </c>
      <c r="C8" s="157">
        <f>SUM(3000000+9450000+225000+900000+300000+400000+2700000+180000+576000+975000+1930000)/1000</f>
        <v>20636</v>
      </c>
      <c r="D8" s="2"/>
      <c r="F8" s="109"/>
      <c r="G8" s="109"/>
      <c r="J8" s="113"/>
      <c r="K8" s="113"/>
    </row>
    <row r="9" spans="1:11" ht="16.5" thickBot="1">
      <c r="A9" s="6" t="s">
        <v>3</v>
      </c>
      <c r="B9" s="157">
        <f>SUM(175+475+15+105+25+69+426+40+60+80+245)</f>
        <v>1715</v>
      </c>
      <c r="C9" s="157">
        <f>SUM(2625000+8550000+225000+1890000+500000+690000+7668000+720000+1080000+1200000+2450000)/1000</f>
        <v>27598</v>
      </c>
      <c r="D9" s="2"/>
      <c r="F9" s="109"/>
      <c r="G9" s="109"/>
      <c r="J9" s="113"/>
      <c r="K9" s="113"/>
    </row>
    <row r="10" spans="1:11" ht="16.5" thickBot="1">
      <c r="A10" s="6" t="s">
        <v>4</v>
      </c>
      <c r="B10" s="157">
        <f>SUM(80+480+20+120+260+80+435+35+55+233+225)</f>
        <v>2023</v>
      </c>
      <c r="C10" s="157">
        <f>SUM(1200000+8640000+300000+2160000+5200000+800000+7830000+630000+990000+3495000+2250000)/1000</f>
        <v>33495</v>
      </c>
      <c r="D10" s="2"/>
      <c r="F10" s="109"/>
      <c r="G10" s="109"/>
      <c r="J10" s="113"/>
      <c r="K10" s="113"/>
    </row>
    <row r="11" spans="1:11" ht="16.5" thickBot="1">
      <c r="A11" s="6" t="s">
        <v>5</v>
      </c>
      <c r="B11" s="157">
        <f>SUM(100+520+80+60+80+295+54+60+80+225)</f>
        <v>1554</v>
      </c>
      <c r="C11" s="157">
        <f>SUM(1500000+9360000+1440000+1200000+800000+5310000+972000+1080000+1200000+2250000)/1000</f>
        <v>25112</v>
      </c>
      <c r="D11" s="2"/>
      <c r="F11" s="109"/>
      <c r="G11" s="109"/>
      <c r="J11" s="113"/>
      <c r="K11" s="113"/>
    </row>
    <row r="12" spans="1:11" ht="16.5" thickBot="1">
      <c r="A12" s="6" t="s">
        <v>6</v>
      </c>
      <c r="B12" s="157">
        <f>SUM(75+420+100+250+83+376+40+45+165+225)</f>
        <v>1779</v>
      </c>
      <c r="C12" s="157">
        <f>SUM(1125000+7560000+1800000+5000000+830000+6768000+720000+810000+2475000+2250000)/1000</f>
        <v>29338</v>
      </c>
      <c r="D12" s="2"/>
      <c r="F12" s="109"/>
      <c r="G12" s="109"/>
      <c r="J12" s="114"/>
      <c r="K12" s="114"/>
    </row>
    <row r="13" spans="1:11" ht="16.5" thickBot="1">
      <c r="A13" s="6" t="s">
        <v>7</v>
      </c>
      <c r="B13" s="157">
        <f>SUM(125+628+80+225+160+325+50+35+170+113)</f>
        <v>1911</v>
      </c>
      <c r="C13" s="157">
        <f>SUM(1875000+11304000+1440000+4500000+1600000+5850000+900000+630000+2550000+1130000)/1000</f>
        <v>31779</v>
      </c>
      <c r="D13" s="2"/>
      <c r="F13" s="109"/>
      <c r="G13" s="109"/>
    </row>
    <row r="14" spans="1:11" ht="16.5" thickBot="1">
      <c r="A14" s="6" t="s">
        <v>8</v>
      </c>
      <c r="B14" s="157">
        <f>SUM(225+1565+45+243+190+760+30+40+370+120)</f>
        <v>3588</v>
      </c>
      <c r="C14" s="157">
        <f>SUM(3375000+28170000+810000+4860000+1900000+13680000+540000+720000+5550000+1200000)/1000</f>
        <v>60805</v>
      </c>
      <c r="D14" s="2"/>
      <c r="F14" s="109"/>
      <c r="G14" s="109"/>
    </row>
    <row r="15" spans="1:11" ht="16.5" thickBot="1">
      <c r="A15" s="6" t="s">
        <v>9</v>
      </c>
      <c r="B15" s="157">
        <f>SUM(280+825+60+230+180+920+41+20+270+113)</f>
        <v>2939</v>
      </c>
      <c r="C15" s="157">
        <f>SUM(4200000+14850000+1080000+4600000+1800000+16560000+738000+360000+4050000+1130000)/1000</f>
        <v>49368</v>
      </c>
      <c r="D15" s="2"/>
      <c r="F15" s="109"/>
      <c r="G15" s="109"/>
    </row>
    <row r="16" spans="1:11" ht="16.5" thickBot="1">
      <c r="A16" s="6" t="s">
        <v>10</v>
      </c>
      <c r="B16" s="39">
        <f>SUM(520+1225+80+110+39+1080+25+22+445+100)</f>
        <v>3646</v>
      </c>
      <c r="C16" s="39">
        <f>61841000/1000</f>
        <v>61841</v>
      </c>
      <c r="D16" s="2"/>
      <c r="F16" s="109"/>
      <c r="G16" s="109"/>
    </row>
    <row r="17" spans="1:8" ht="16.5" thickBot="1">
      <c r="A17" s="6" t="s">
        <v>11</v>
      </c>
      <c r="B17" s="39">
        <v>5645</v>
      </c>
      <c r="C17" s="39">
        <f>94375000/1000</f>
        <v>94375</v>
      </c>
      <c r="D17" s="2"/>
      <c r="F17" s="109"/>
      <c r="G17" s="109"/>
    </row>
    <row r="18" spans="1:8" ht="16.5" thickBot="1">
      <c r="A18" s="6" t="s">
        <v>12</v>
      </c>
      <c r="B18" s="39">
        <f>SUM(1223+2100+80+120+100+1300+20+30+930+250)</f>
        <v>6153</v>
      </c>
      <c r="C18" s="39">
        <f>101735000/1000</f>
        <v>101735</v>
      </c>
      <c r="D18" s="2"/>
      <c r="F18" s="109"/>
      <c r="G18" s="109"/>
    </row>
    <row r="19" spans="1:8" ht="16.5" thickBot="1">
      <c r="A19" s="6" t="s">
        <v>13</v>
      </c>
      <c r="B19" s="39">
        <f>SUM(1186+2680+120+150+820+1650+18+15+1280+139)</f>
        <v>8058</v>
      </c>
      <c r="C19" s="39">
        <f>107189000/1000</f>
        <v>107189</v>
      </c>
      <c r="D19" s="2"/>
      <c r="F19" s="109"/>
      <c r="G19" s="109"/>
    </row>
    <row r="20" spans="1:8" ht="16.5" thickBot="1">
      <c r="A20" s="7" t="s">
        <v>98</v>
      </c>
      <c r="B20" s="40">
        <f>SUM(B8:B19)</f>
        <v>40306</v>
      </c>
      <c r="C20" s="38">
        <f>SUM(C8:C19)</f>
        <v>643271</v>
      </c>
      <c r="D20" s="2"/>
      <c r="F20" s="115"/>
      <c r="G20" s="115"/>
      <c r="H20" s="116"/>
    </row>
    <row r="21" spans="1:8" ht="16.5" thickBot="1">
      <c r="A21" s="7">
        <v>2021</v>
      </c>
      <c r="B21" s="41">
        <v>41480</v>
      </c>
      <c r="C21" s="38">
        <v>704895</v>
      </c>
      <c r="D21" s="2"/>
      <c r="F21" s="116"/>
      <c r="G21" s="116"/>
    </row>
    <row r="22" spans="1:8" ht="16.5" thickBot="1">
      <c r="A22" s="7">
        <v>2020</v>
      </c>
      <c r="B22" s="41">
        <v>0</v>
      </c>
      <c r="C22" s="38">
        <v>0</v>
      </c>
      <c r="D22" s="2"/>
    </row>
    <row r="23" spans="1:8" ht="16.5" thickBot="1">
      <c r="A23" s="7">
        <v>2019</v>
      </c>
      <c r="B23" s="41">
        <v>0</v>
      </c>
      <c r="C23" s="38">
        <v>0</v>
      </c>
      <c r="D23" s="2"/>
    </row>
    <row r="24" spans="1:8" ht="16.5" thickBot="1">
      <c r="A24" s="7">
        <v>2018</v>
      </c>
      <c r="B24" s="41">
        <v>0</v>
      </c>
      <c r="C24" s="41">
        <v>0</v>
      </c>
      <c r="D24" s="2"/>
    </row>
    <row r="25" spans="1:8">
      <c r="A25" s="2"/>
      <c r="B25" s="2"/>
      <c r="C25" s="2"/>
      <c r="D25" s="2"/>
    </row>
    <row r="26" spans="1:8">
      <c r="A26" s="2"/>
      <c r="B26" s="2"/>
      <c r="C26" s="2"/>
      <c r="D26" s="2"/>
    </row>
    <row r="27" spans="1:8">
      <c r="A27" s="305" t="s">
        <v>31</v>
      </c>
      <c r="B27" s="305"/>
      <c r="C27" s="305"/>
      <c r="D27" s="305"/>
    </row>
    <row r="29" spans="1:8" ht="15.75" thickBot="1"/>
    <row r="30" spans="1:8" ht="30.75" thickBot="1">
      <c r="A30" s="122"/>
      <c r="B30" s="123" t="s">
        <v>29</v>
      </c>
      <c r="C30" s="123" t="s">
        <v>33</v>
      </c>
    </row>
    <row r="31" spans="1:8" ht="15.75" thickBot="1">
      <c r="A31" s="125" t="s">
        <v>121</v>
      </c>
      <c r="B31" s="124">
        <f>SUM(B8:B10)</f>
        <v>5033</v>
      </c>
      <c r="C31" s="124">
        <f>SUM(C8:C10)</f>
        <v>81729</v>
      </c>
    </row>
    <row r="32" spans="1:8" ht="15.75" thickBot="1">
      <c r="A32" s="125" t="s">
        <v>118</v>
      </c>
      <c r="B32" s="124">
        <f>SUM(B11:B13)</f>
        <v>5244</v>
      </c>
      <c r="C32" s="124">
        <f>SUM(C11:C13)</f>
        <v>86229</v>
      </c>
    </row>
    <row r="33" spans="1:3" ht="15.75" thickBot="1">
      <c r="A33" s="125" t="s">
        <v>119</v>
      </c>
      <c r="B33" s="124">
        <f>SUM(B14:B16)</f>
        <v>10173</v>
      </c>
      <c r="C33" s="124">
        <f>SUM(C14:C16)</f>
        <v>172014</v>
      </c>
    </row>
    <row r="34" spans="1:3" ht="15.75" thickBot="1">
      <c r="A34" s="125" t="s">
        <v>120</v>
      </c>
      <c r="B34" s="124">
        <f>SUM(B17:B19)</f>
        <v>19856</v>
      </c>
      <c r="C34" s="124">
        <f>SUM(C17:C19)</f>
        <v>303299</v>
      </c>
    </row>
    <row r="35" spans="1:3" ht="15.75" thickBot="1">
      <c r="A35" s="125" t="s">
        <v>69</v>
      </c>
      <c r="B35" s="126">
        <f>SUM(B31:B34)</f>
        <v>40306</v>
      </c>
      <c r="C35" s="126">
        <f>SUM(C31:C34)</f>
        <v>643271</v>
      </c>
    </row>
  </sheetData>
  <mergeCells count="4">
    <mergeCell ref="A2:C2"/>
    <mergeCell ref="A3:C3"/>
    <mergeCell ref="A27:D27"/>
    <mergeCell ref="A1:C1"/>
  </mergeCells>
  <pageMargins left="0.7" right="0.7" top="0.75" bottom="0.75" header="0.3" footer="0.3"/>
  <pageSetup paperSize="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3"/>
  <sheetViews>
    <sheetView view="pageLayout" topLeftCell="A2" zoomScale="60" zoomScalePageLayoutView="60" workbookViewId="0">
      <selection activeCell="H23" sqref="H23"/>
    </sheetView>
  </sheetViews>
  <sheetFormatPr defaultColWidth="9" defaultRowHeight="15"/>
  <cols>
    <col min="1" max="1" width="27.7109375" customWidth="1"/>
    <col min="2" max="2" width="22.85546875" customWidth="1"/>
    <col min="3" max="3" width="23" customWidth="1"/>
    <col min="5" max="5" width="9" customWidth="1"/>
  </cols>
  <sheetData>
    <row r="1" spans="1:4" ht="15.75">
      <c r="A1" s="2"/>
      <c r="B1" s="23" t="s">
        <v>0</v>
      </c>
      <c r="C1" s="2"/>
      <c r="D1" s="2"/>
    </row>
    <row r="2" spans="1:4" ht="15.75">
      <c r="A2" s="306" t="s">
        <v>65</v>
      </c>
      <c r="B2" s="306"/>
      <c r="C2" s="306"/>
      <c r="D2" s="2"/>
    </row>
    <row r="3" spans="1:4" ht="15.75">
      <c r="A3" s="306" t="s">
        <v>99</v>
      </c>
      <c r="B3" s="306"/>
      <c r="C3" s="306"/>
      <c r="D3" s="2"/>
    </row>
    <row r="4" spans="1:4" ht="15.75">
      <c r="A4" s="104"/>
      <c r="B4" s="104"/>
      <c r="C4" s="104"/>
      <c r="D4" s="24"/>
    </row>
    <row r="5" spans="1:4" ht="15.75" thickBot="1">
      <c r="A5" s="107" t="s">
        <v>102</v>
      </c>
      <c r="B5" s="2"/>
      <c r="C5" s="2"/>
      <c r="D5" s="2"/>
    </row>
    <row r="6" spans="1:4" ht="44.25" customHeight="1">
      <c r="A6" s="307" t="s">
        <v>36</v>
      </c>
      <c r="B6" s="309" t="s">
        <v>95</v>
      </c>
      <c r="C6" s="309" t="s">
        <v>63</v>
      </c>
      <c r="D6" s="2"/>
    </row>
    <row r="7" spans="1:4" ht="15.75" thickBot="1">
      <c r="A7" s="308"/>
      <c r="B7" s="310"/>
      <c r="C7" s="310"/>
      <c r="D7" s="2"/>
    </row>
    <row r="8" spans="1:4" ht="15.75" thickBot="1">
      <c r="A8" s="14">
        <v>1</v>
      </c>
      <c r="B8" s="99">
        <v>2</v>
      </c>
      <c r="C8" s="99">
        <v>3</v>
      </c>
      <c r="D8" s="2"/>
    </row>
    <row r="9" spans="1:4" ht="16.5" thickBot="1">
      <c r="A9" s="16" t="s">
        <v>38</v>
      </c>
      <c r="B9" s="31">
        <v>0</v>
      </c>
      <c r="C9" s="31">
        <v>0</v>
      </c>
      <c r="D9" s="2"/>
    </row>
    <row r="10" spans="1:4" ht="16.5" thickBot="1">
      <c r="A10" s="16" t="s">
        <v>39</v>
      </c>
      <c r="B10" s="31">
        <v>0</v>
      </c>
      <c r="C10" s="31">
        <v>0</v>
      </c>
      <c r="D10" s="2"/>
    </row>
    <row r="11" spans="1:4" ht="16.5" thickBot="1">
      <c r="A11" s="16" t="s">
        <v>40</v>
      </c>
      <c r="B11" s="31">
        <v>0</v>
      </c>
      <c r="C11" s="31">
        <v>0</v>
      </c>
      <c r="D11" s="2"/>
    </row>
    <row r="12" spans="1:4" ht="16.5" thickBot="1">
      <c r="A12" s="16" t="s">
        <v>41</v>
      </c>
      <c r="B12" s="31">
        <v>0</v>
      </c>
      <c r="C12" s="31">
        <v>0</v>
      </c>
      <c r="D12" s="2"/>
    </row>
    <row r="13" spans="1:4" ht="16.5" thickBot="1">
      <c r="A13" s="16" t="s">
        <v>42</v>
      </c>
      <c r="B13" s="31">
        <v>0</v>
      </c>
      <c r="C13" s="31">
        <v>0</v>
      </c>
      <c r="D13" s="2"/>
    </row>
    <row r="14" spans="1:4" ht="16.5" thickBot="1">
      <c r="A14" s="16" t="s">
        <v>43</v>
      </c>
      <c r="B14" s="31">
        <v>0</v>
      </c>
      <c r="C14" s="31">
        <v>0</v>
      </c>
      <c r="D14" s="2"/>
    </row>
    <row r="15" spans="1:4" ht="16.5" thickBot="1">
      <c r="A15" s="16" t="s">
        <v>44</v>
      </c>
      <c r="B15" s="31">
        <v>0</v>
      </c>
      <c r="C15" s="31">
        <v>0</v>
      </c>
      <c r="D15" s="2"/>
    </row>
    <row r="16" spans="1:4" ht="16.5" thickBot="1">
      <c r="A16" s="16" t="s">
        <v>45</v>
      </c>
      <c r="B16" s="31">
        <v>0</v>
      </c>
      <c r="C16" s="31">
        <v>0</v>
      </c>
      <c r="D16" s="2"/>
    </row>
    <row r="17" spans="1:4" ht="16.5" thickBot="1">
      <c r="A17" s="16" t="s">
        <v>46</v>
      </c>
      <c r="B17" s="31">
        <v>0</v>
      </c>
      <c r="C17" s="31">
        <v>0</v>
      </c>
      <c r="D17" s="2"/>
    </row>
    <row r="18" spans="1:4" ht="16.5" thickBot="1">
      <c r="A18" s="16" t="s">
        <v>47</v>
      </c>
      <c r="B18" s="61">
        <f>285000+312000</f>
        <v>597000</v>
      </c>
      <c r="C18" s="61">
        <v>597000</v>
      </c>
      <c r="D18" s="2"/>
    </row>
    <row r="19" spans="1:4" ht="16.5" thickBot="1">
      <c r="A19" s="16" t="s">
        <v>48</v>
      </c>
      <c r="B19" s="31">
        <v>0</v>
      </c>
      <c r="C19" s="31">
        <v>0</v>
      </c>
      <c r="D19" s="2"/>
    </row>
    <row r="20" spans="1:4" ht="16.5" thickBot="1">
      <c r="A20" s="16" t="s">
        <v>49</v>
      </c>
      <c r="B20" s="31">
        <v>0</v>
      </c>
      <c r="C20" s="31">
        <v>0</v>
      </c>
      <c r="D20" s="2"/>
    </row>
    <row r="21" spans="1:4" ht="16.5" thickBot="1">
      <c r="A21" s="16" t="s">
        <v>50</v>
      </c>
      <c r="B21" s="31">
        <v>0</v>
      </c>
      <c r="C21" s="31">
        <v>0</v>
      </c>
      <c r="D21" s="2"/>
    </row>
    <row r="22" spans="1:4" ht="16.5" thickBot="1">
      <c r="A22" s="16" t="s">
        <v>51</v>
      </c>
      <c r="B22" s="31">
        <v>0</v>
      </c>
      <c r="C22" s="31">
        <v>0</v>
      </c>
      <c r="D22" s="2"/>
    </row>
    <row r="23" spans="1:4" ht="16.5" thickBot="1">
      <c r="A23" s="16" t="s">
        <v>52</v>
      </c>
      <c r="B23" s="31">
        <v>0</v>
      </c>
      <c r="C23" s="31">
        <v>0</v>
      </c>
      <c r="D23" s="2"/>
    </row>
    <row r="24" spans="1:4" ht="16.5" thickBot="1">
      <c r="A24" s="16" t="s">
        <v>53</v>
      </c>
      <c r="B24" s="31">
        <v>0</v>
      </c>
      <c r="C24" s="31">
        <v>0</v>
      </c>
      <c r="D24" s="2"/>
    </row>
    <row r="25" spans="1:4" ht="16.5" thickBot="1">
      <c r="A25" s="16" t="s">
        <v>54</v>
      </c>
      <c r="B25" s="61">
        <v>755550</v>
      </c>
      <c r="C25" s="61">
        <v>755550</v>
      </c>
      <c r="D25" s="2"/>
    </row>
    <row r="26" spans="1:4" ht="16.5" thickBot="1">
      <c r="A26" s="7" t="s">
        <v>98</v>
      </c>
      <c r="B26" s="98">
        <f>SUM(B9:B25)</f>
        <v>1352550</v>
      </c>
      <c r="C26" s="98">
        <f>SUM(C9:C25)</f>
        <v>1352550</v>
      </c>
      <c r="D26" s="2"/>
    </row>
    <row r="27" spans="1:4" ht="16.5" thickBot="1">
      <c r="A27" s="7">
        <v>2021</v>
      </c>
      <c r="B27" s="26">
        <v>55392335</v>
      </c>
      <c r="C27" s="26">
        <v>55392335</v>
      </c>
      <c r="D27" s="2"/>
    </row>
    <row r="28" spans="1:4" ht="16.5" thickBot="1">
      <c r="A28" s="7">
        <v>2020</v>
      </c>
      <c r="B28" s="26">
        <v>55428503</v>
      </c>
      <c r="C28" s="26">
        <v>55428503</v>
      </c>
      <c r="D28" s="2"/>
    </row>
    <row r="29" spans="1:4" ht="16.5" thickBot="1">
      <c r="A29" s="7">
        <v>2019</v>
      </c>
      <c r="B29" s="57">
        <v>53964172</v>
      </c>
      <c r="C29" s="57">
        <v>53964172</v>
      </c>
      <c r="D29" s="2"/>
    </row>
    <row r="30" spans="1:4" ht="16.5" thickBot="1">
      <c r="A30" s="7">
        <v>2018</v>
      </c>
      <c r="B30" s="57">
        <v>58677640</v>
      </c>
      <c r="C30" s="57">
        <v>58677640</v>
      </c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305" t="s">
        <v>31</v>
      </c>
      <c r="B33" s="305"/>
      <c r="C33" s="305"/>
      <c r="D33" s="305"/>
    </row>
  </sheetData>
  <mergeCells count="6">
    <mergeCell ref="A33:D33"/>
    <mergeCell ref="A2:C2"/>
    <mergeCell ref="A3:C3"/>
    <mergeCell ref="A6:A7"/>
    <mergeCell ref="B6:B7"/>
    <mergeCell ref="C6:C7"/>
  </mergeCells>
  <pageMargins left="0.7" right="0.7" top="0.75" bottom="0.75" header="0.3" footer="0.3"/>
  <pageSetup paperSize="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6"/>
  <sheetViews>
    <sheetView topLeftCell="A7" zoomScale="70" zoomScaleNormal="70" zoomScalePageLayoutView="66" workbookViewId="0">
      <selection activeCell="J38" sqref="J38"/>
    </sheetView>
  </sheetViews>
  <sheetFormatPr defaultColWidth="9" defaultRowHeight="15"/>
  <cols>
    <col min="1" max="1" width="27.7109375" customWidth="1"/>
    <col min="2" max="2" width="22.85546875" style="22" customWidth="1"/>
    <col min="3" max="3" width="23" customWidth="1"/>
  </cols>
  <sheetData>
    <row r="1" spans="1:4" ht="15.75">
      <c r="A1" s="306" t="s">
        <v>0</v>
      </c>
      <c r="B1" s="306"/>
      <c r="C1" s="306"/>
      <c r="D1" s="127"/>
    </row>
    <row r="2" spans="1:4" ht="15.75">
      <c r="A2" s="306" t="s">
        <v>61</v>
      </c>
      <c r="B2" s="306"/>
      <c r="C2" s="306"/>
      <c r="D2" s="127"/>
    </row>
    <row r="3" spans="1:4" ht="15.75">
      <c r="A3" s="306" t="s">
        <v>97</v>
      </c>
      <c r="B3" s="306"/>
      <c r="C3" s="306"/>
      <c r="D3" s="127"/>
    </row>
    <row r="4" spans="1:4" ht="15.75">
      <c r="A4" s="102"/>
      <c r="B4" s="102"/>
      <c r="C4" s="102"/>
      <c r="D4" s="102"/>
    </row>
    <row r="5" spans="1:4" ht="15.75" thickBot="1">
      <c r="A5" s="107" t="s">
        <v>102</v>
      </c>
      <c r="B5" s="20"/>
      <c r="C5" s="2"/>
      <c r="D5" s="2"/>
    </row>
    <row r="6" spans="1:4" ht="63" customHeight="1">
      <c r="A6" s="313" t="s">
        <v>59</v>
      </c>
      <c r="B6" s="302" t="s">
        <v>94</v>
      </c>
      <c r="C6" s="302" t="s">
        <v>62</v>
      </c>
      <c r="D6" s="2"/>
    </row>
    <row r="7" spans="1:4" ht="15.75" thickBot="1">
      <c r="A7" s="314"/>
      <c r="B7" s="315"/>
      <c r="C7" s="315"/>
      <c r="D7" s="2"/>
    </row>
    <row r="8" spans="1:4" ht="16.5" thickBot="1">
      <c r="A8" s="17">
        <v>1</v>
      </c>
      <c r="B8" s="21">
        <v>2</v>
      </c>
      <c r="C8" s="19">
        <v>3</v>
      </c>
      <c r="D8" s="2"/>
    </row>
    <row r="9" spans="1:4" ht="16.5" thickBot="1">
      <c r="A9" s="6" t="s">
        <v>2</v>
      </c>
      <c r="B9" s="80">
        <v>3966074</v>
      </c>
      <c r="C9" s="80">
        <v>3966074</v>
      </c>
      <c r="D9" s="2"/>
    </row>
    <row r="10" spans="1:4" ht="16.5" thickBot="1">
      <c r="A10" s="6" t="s">
        <v>3</v>
      </c>
      <c r="B10" s="80">
        <v>3709040</v>
      </c>
      <c r="C10" s="80">
        <v>3709040</v>
      </c>
      <c r="D10" s="2"/>
    </row>
    <row r="11" spans="1:4" ht="16.5" thickBot="1">
      <c r="A11" s="6" t="s">
        <v>4</v>
      </c>
      <c r="B11" s="80">
        <v>3873203</v>
      </c>
      <c r="C11" s="80">
        <v>3873203</v>
      </c>
      <c r="D11" s="2"/>
    </row>
    <row r="12" spans="1:4" ht="16.5" thickBot="1">
      <c r="A12" s="6" t="s">
        <v>5</v>
      </c>
      <c r="B12" s="80">
        <v>3991657</v>
      </c>
      <c r="C12" s="80">
        <v>3991657</v>
      </c>
      <c r="D12" s="2"/>
    </row>
    <row r="13" spans="1:4" ht="16.5" thickBot="1">
      <c r="A13" s="6" t="s">
        <v>6</v>
      </c>
      <c r="B13" s="80">
        <v>2783646</v>
      </c>
      <c r="C13" s="80">
        <v>2783646</v>
      </c>
      <c r="D13" s="2"/>
    </row>
    <row r="14" spans="1:4" ht="16.5" thickBot="1">
      <c r="A14" s="6" t="s">
        <v>7</v>
      </c>
      <c r="B14" s="80">
        <v>2693786</v>
      </c>
      <c r="C14" s="80">
        <v>2693786</v>
      </c>
      <c r="D14" s="2"/>
    </row>
    <row r="15" spans="1:4" ht="16.5" thickBot="1">
      <c r="A15" s="6" t="s">
        <v>8</v>
      </c>
      <c r="B15" s="80">
        <v>6833600</v>
      </c>
      <c r="C15" s="80">
        <v>6833600</v>
      </c>
      <c r="D15" s="2"/>
    </row>
    <row r="16" spans="1:4" ht="16.5" thickBot="1">
      <c r="A16" s="6" t="s">
        <v>9</v>
      </c>
      <c r="B16" s="80">
        <v>6713000</v>
      </c>
      <c r="C16" s="80">
        <v>6713000</v>
      </c>
      <c r="D16" s="2"/>
    </row>
    <row r="17" spans="1:4" ht="16.5" thickBot="1">
      <c r="A17" s="6" t="s">
        <v>10</v>
      </c>
      <c r="B17" s="80">
        <v>6725000</v>
      </c>
      <c r="C17" s="80">
        <v>6725000</v>
      </c>
      <c r="D17" s="2"/>
    </row>
    <row r="18" spans="1:4" ht="16.5" thickBot="1">
      <c r="A18" s="6" t="s">
        <v>11</v>
      </c>
      <c r="B18" s="80">
        <v>0</v>
      </c>
      <c r="C18" s="80">
        <v>0</v>
      </c>
      <c r="D18" s="2"/>
    </row>
    <row r="19" spans="1:4" ht="16.5" thickBot="1">
      <c r="A19" s="6" t="s">
        <v>12</v>
      </c>
      <c r="B19" s="80">
        <v>0</v>
      </c>
      <c r="C19" s="80">
        <v>0</v>
      </c>
      <c r="D19" s="2"/>
    </row>
    <row r="20" spans="1:4" ht="16.5" thickBot="1">
      <c r="A20" s="6" t="s">
        <v>13</v>
      </c>
      <c r="B20" s="80">
        <v>0</v>
      </c>
      <c r="C20" s="80">
        <v>0</v>
      </c>
      <c r="D20" s="2"/>
    </row>
    <row r="21" spans="1:4" ht="16.5" thickBot="1">
      <c r="A21" s="7" t="s">
        <v>98</v>
      </c>
      <c r="B21" s="36">
        <f>SUM(B9:B20)</f>
        <v>41289006</v>
      </c>
      <c r="C21" s="36">
        <f>SUM(C9:C20)</f>
        <v>41289006</v>
      </c>
      <c r="D21" s="2"/>
    </row>
    <row r="22" spans="1:4" ht="16.5" thickBot="1">
      <c r="A22" s="7">
        <v>2021</v>
      </c>
      <c r="B22" s="26">
        <v>55392335</v>
      </c>
      <c r="C22" s="26">
        <v>55392335</v>
      </c>
      <c r="D22" s="2"/>
    </row>
    <row r="23" spans="1:4" ht="16.5" thickBot="1">
      <c r="A23" s="7">
        <v>2020</v>
      </c>
      <c r="B23" s="26">
        <v>55428503</v>
      </c>
      <c r="C23" s="26">
        <v>55428503</v>
      </c>
      <c r="D23" s="2"/>
    </row>
    <row r="24" spans="1:4" ht="16.5" thickBot="1">
      <c r="A24" s="7">
        <v>2019</v>
      </c>
      <c r="B24" s="57">
        <v>53964172</v>
      </c>
      <c r="C24" s="57">
        <v>53964172</v>
      </c>
      <c r="D24" s="2"/>
    </row>
    <row r="25" spans="1:4" ht="16.5" thickBot="1">
      <c r="A25" s="7">
        <v>2018</v>
      </c>
      <c r="B25" s="57">
        <v>58677640</v>
      </c>
      <c r="C25" s="57">
        <v>58677640</v>
      </c>
      <c r="D25" s="2"/>
    </row>
    <row r="26" spans="1:4">
      <c r="A26" s="2"/>
      <c r="B26" s="20"/>
      <c r="C26" s="2"/>
      <c r="D26" s="2"/>
    </row>
    <row r="27" spans="1:4">
      <c r="A27" s="305" t="s">
        <v>31</v>
      </c>
      <c r="B27" s="305"/>
      <c r="C27" s="305"/>
      <c r="D27" s="305"/>
    </row>
    <row r="30" spans="1:4" ht="15.75" thickBot="1"/>
    <row r="31" spans="1:4" ht="30.75" thickBot="1">
      <c r="A31" s="122"/>
      <c r="B31" s="123" t="s">
        <v>29</v>
      </c>
      <c r="C31" s="123" t="s">
        <v>33</v>
      </c>
    </row>
    <row r="32" spans="1:4" ht="15.75" thickBot="1">
      <c r="A32" s="125" t="s">
        <v>121</v>
      </c>
      <c r="B32" s="124">
        <f>SUM(B9:B11)</f>
        <v>11548317</v>
      </c>
      <c r="C32" s="124">
        <f>SUM(C9:C11)</f>
        <v>11548317</v>
      </c>
    </row>
    <row r="33" spans="1:3" ht="15.75" thickBot="1">
      <c r="A33" s="125" t="s">
        <v>118</v>
      </c>
      <c r="B33" s="124">
        <f>SUM(B12:B14)</f>
        <v>9469089</v>
      </c>
      <c r="C33" s="124">
        <f>SUM(C12:C14)</f>
        <v>9469089</v>
      </c>
    </row>
    <row r="34" spans="1:3" ht="15.75" thickBot="1">
      <c r="A34" s="125" t="s">
        <v>119</v>
      </c>
      <c r="B34" s="124">
        <f>SUM(B15:B17)</f>
        <v>20271600</v>
      </c>
      <c r="C34" s="124">
        <f>SUM(C15:C17)</f>
        <v>20271600</v>
      </c>
    </row>
    <row r="35" spans="1:3" ht="15.75" thickBot="1">
      <c r="A35" s="125" t="s">
        <v>120</v>
      </c>
      <c r="B35" s="122"/>
      <c r="C35" s="122"/>
    </row>
    <row r="36" spans="1:3" ht="15.75" thickBot="1">
      <c r="A36" s="125" t="s">
        <v>69</v>
      </c>
      <c r="B36" s="126">
        <f>SUM(B32:B35)</f>
        <v>41289006</v>
      </c>
      <c r="C36" s="126">
        <f>SUM(C32:C35)</f>
        <v>41289006</v>
      </c>
    </row>
  </sheetData>
  <mergeCells count="7">
    <mergeCell ref="A1:C1"/>
    <mergeCell ref="A27:D27"/>
    <mergeCell ref="A6:A7"/>
    <mergeCell ref="B6:B7"/>
    <mergeCell ref="C6:C7"/>
    <mergeCell ref="A2:C2"/>
    <mergeCell ref="A3:C3"/>
  </mergeCells>
  <pageMargins left="0.7" right="0.7" top="0.75" bottom="0.75" header="0.3" footer="0.3"/>
  <pageSetup paperSize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view="pageBreakPreview" topLeftCell="A15" zoomScale="60" zoomScaleNormal="70" workbookViewId="0">
      <selection activeCell="B33" sqref="B33:D33"/>
    </sheetView>
  </sheetViews>
  <sheetFormatPr defaultColWidth="9" defaultRowHeight="15"/>
  <cols>
    <col min="1" max="1" width="27.7109375" customWidth="1"/>
    <col min="2" max="3" width="22.85546875" customWidth="1"/>
    <col min="4" max="4" width="11" style="109" bestFit="1" customWidth="1"/>
    <col min="5" max="5" width="14.85546875" style="109" bestFit="1" customWidth="1"/>
    <col min="6" max="6" width="11.5703125" bestFit="1" customWidth="1"/>
  </cols>
  <sheetData>
    <row r="1" spans="1:4" ht="15.75">
      <c r="A1" s="306" t="s">
        <v>0</v>
      </c>
      <c r="B1" s="306"/>
      <c r="C1" s="306"/>
      <c r="D1" s="249"/>
    </row>
    <row r="2" spans="1:4" ht="15.75">
      <c r="A2" s="306" t="s">
        <v>66</v>
      </c>
      <c r="B2" s="306"/>
      <c r="C2" s="306"/>
      <c r="D2" s="249"/>
    </row>
    <row r="3" spans="1:4" ht="15.75">
      <c r="A3" s="306" t="s">
        <v>156</v>
      </c>
      <c r="B3" s="306"/>
      <c r="C3" s="306"/>
      <c r="D3" s="249"/>
    </row>
    <row r="4" spans="1:4" ht="15.75" thickBot="1">
      <c r="A4" s="2"/>
      <c r="B4" s="2"/>
      <c r="C4" s="2"/>
      <c r="D4" s="249"/>
    </row>
    <row r="5" spans="1:4" ht="63" customHeight="1">
      <c r="A5" s="302" t="s">
        <v>36</v>
      </c>
      <c r="B5" s="302" t="s">
        <v>64</v>
      </c>
      <c r="C5" s="302" t="s">
        <v>30</v>
      </c>
      <c r="D5" s="249"/>
    </row>
    <row r="6" spans="1:4" ht="15.75" thickBot="1">
      <c r="A6" s="303"/>
      <c r="B6" s="315"/>
      <c r="C6" s="315"/>
      <c r="D6" s="249"/>
    </row>
    <row r="7" spans="1:4" ht="16.5" thickBot="1">
      <c r="A7" s="4">
        <v>1</v>
      </c>
      <c r="B7" s="5">
        <v>2</v>
      </c>
      <c r="C7" s="286">
        <v>3</v>
      </c>
      <c r="D7" s="272"/>
    </row>
    <row r="8" spans="1:4" ht="16.5" thickBot="1">
      <c r="A8" s="6" t="s">
        <v>38</v>
      </c>
      <c r="B8" s="58">
        <v>0</v>
      </c>
      <c r="C8" s="59">
        <v>0</v>
      </c>
      <c r="D8" s="272"/>
    </row>
    <row r="9" spans="1:4" ht="16.5" thickBot="1">
      <c r="A9" s="6" t="s">
        <v>39</v>
      </c>
      <c r="B9" s="60">
        <v>0</v>
      </c>
      <c r="C9" s="59">
        <v>0</v>
      </c>
      <c r="D9" s="272"/>
    </row>
    <row r="10" spans="1:4" ht="16.5" thickBot="1">
      <c r="A10" s="6" t="s">
        <v>40</v>
      </c>
      <c r="B10" s="60">
        <v>0</v>
      </c>
      <c r="C10" s="59">
        <v>0</v>
      </c>
      <c r="D10" s="272"/>
    </row>
    <row r="11" spans="1:4" ht="16.5" thickBot="1">
      <c r="A11" s="6" t="s">
        <v>41</v>
      </c>
      <c r="B11" s="62">
        <v>0</v>
      </c>
      <c r="C11" s="59">
        <v>0</v>
      </c>
      <c r="D11" s="272"/>
    </row>
    <row r="12" spans="1:4" ht="16.5" thickBot="1">
      <c r="A12" s="6" t="s">
        <v>42</v>
      </c>
      <c r="B12" s="62">
        <v>0</v>
      </c>
      <c r="C12" s="59">
        <v>0</v>
      </c>
      <c r="D12" s="272"/>
    </row>
    <row r="13" spans="1:4" ht="16.5" thickBot="1">
      <c r="A13" s="6" t="s">
        <v>43</v>
      </c>
      <c r="B13" s="62">
        <v>0</v>
      </c>
      <c r="C13" s="61">
        <v>0</v>
      </c>
      <c r="D13" s="249"/>
    </row>
    <row r="14" spans="1:4" ht="16.5" thickBot="1">
      <c r="A14" s="6" t="s">
        <v>44</v>
      </c>
      <c r="B14" s="63">
        <v>0</v>
      </c>
      <c r="C14" s="59">
        <v>0</v>
      </c>
      <c r="D14" s="272"/>
    </row>
    <row r="15" spans="1:4" ht="16.5" thickBot="1">
      <c r="A15" s="6" t="s">
        <v>45</v>
      </c>
      <c r="B15" s="64">
        <v>0</v>
      </c>
      <c r="C15" s="59">
        <v>0</v>
      </c>
      <c r="D15" s="272"/>
    </row>
    <row r="16" spans="1:4" ht="16.5" thickBot="1">
      <c r="A16" s="6" t="s">
        <v>46</v>
      </c>
      <c r="B16" s="65">
        <v>0</v>
      </c>
      <c r="C16" s="66">
        <v>0</v>
      </c>
      <c r="D16" s="249"/>
    </row>
    <row r="17" spans="1:5" ht="16.5" thickBot="1">
      <c r="A17" s="6" t="s">
        <v>47</v>
      </c>
      <c r="B17" s="241">
        <f>7417418/1000</f>
        <v>7417.4179999999997</v>
      </c>
      <c r="C17" s="242">
        <f>6434323260/1000</f>
        <v>6434323.2599999998</v>
      </c>
      <c r="D17" s="249"/>
    </row>
    <row r="18" spans="1:5" ht="16.5" thickBot="1">
      <c r="A18" s="6" t="s">
        <v>48</v>
      </c>
      <c r="B18" s="241">
        <f>6572072/1000</f>
        <v>6572.0720000000001</v>
      </c>
      <c r="C18" s="242">
        <f>7297435880/1000</f>
        <v>7297435.8799999999</v>
      </c>
      <c r="D18" s="249"/>
    </row>
    <row r="19" spans="1:5" ht="16.5" thickBot="1">
      <c r="A19" s="6" t="s">
        <v>49</v>
      </c>
      <c r="B19" s="243"/>
      <c r="C19" s="105"/>
      <c r="D19" s="249"/>
    </row>
    <row r="20" spans="1:5" ht="16.5" thickBot="1">
      <c r="A20" s="6" t="s">
        <v>50</v>
      </c>
      <c r="B20" s="243">
        <f>633249/1000</f>
        <v>633.24900000000002</v>
      </c>
      <c r="C20" s="105">
        <f>652608750/1000</f>
        <v>652608.75</v>
      </c>
      <c r="D20" s="249"/>
    </row>
    <row r="21" spans="1:5" ht="16.5" thickBot="1">
      <c r="A21" s="6" t="s">
        <v>51</v>
      </c>
      <c r="B21" s="243">
        <f>12871200/1000</f>
        <v>12871.2</v>
      </c>
      <c r="C21" s="105">
        <f>10199937500/1000</f>
        <v>10199937.5</v>
      </c>
      <c r="D21" s="272"/>
    </row>
    <row r="22" spans="1:5" ht="16.5" thickBot="1">
      <c r="A22" s="6" t="s">
        <v>52</v>
      </c>
      <c r="B22" s="243"/>
      <c r="C22" s="105"/>
      <c r="D22" s="272"/>
    </row>
    <row r="23" spans="1:5" ht="16.5" thickBot="1">
      <c r="A23" s="6" t="s">
        <v>53</v>
      </c>
      <c r="B23" s="243"/>
      <c r="C23" s="105"/>
      <c r="D23" s="249"/>
    </row>
    <row r="24" spans="1:5" ht="16.5" thickBot="1">
      <c r="A24" s="6" t="s">
        <v>54</v>
      </c>
      <c r="B24" s="244">
        <f>3120350/1000</f>
        <v>3120.35</v>
      </c>
      <c r="C24" s="245">
        <f>3027950000/1000</f>
        <v>3027950</v>
      </c>
      <c r="D24" s="272"/>
    </row>
    <row r="25" spans="1:5" ht="16.5" thickBot="1">
      <c r="A25" s="230" t="s">
        <v>158</v>
      </c>
      <c r="B25" s="290">
        <f>SUM(B17:B24)</f>
        <v>30614.288999999997</v>
      </c>
      <c r="C25" s="246">
        <f>SUM(C17:C24)</f>
        <v>27612255.390000001</v>
      </c>
      <c r="D25" s="273"/>
    </row>
    <row r="26" spans="1:5" ht="16.5" thickBot="1">
      <c r="A26" s="7">
        <v>2022</v>
      </c>
      <c r="B26" s="291">
        <f>1204249/1000</f>
        <v>1204.249</v>
      </c>
      <c r="C26" s="288">
        <f>4636358650/1000</f>
        <v>4636358.6500000004</v>
      </c>
      <c r="D26" s="272"/>
    </row>
    <row r="27" spans="1:5" ht="16.5" thickBot="1">
      <c r="A27" s="7">
        <v>2021</v>
      </c>
      <c r="B27" s="287">
        <v>1458.71</v>
      </c>
      <c r="C27" s="289">
        <f>1152383270/1000</f>
        <v>1152383.27</v>
      </c>
      <c r="D27" s="249"/>
    </row>
    <row r="28" spans="1:5" ht="16.5" thickBot="1">
      <c r="A28" s="7">
        <v>2020</v>
      </c>
      <c r="B28" s="44">
        <v>2410.0300000000002</v>
      </c>
      <c r="C28" s="26">
        <f>1102759400/1000</f>
        <v>1102759.3999999999</v>
      </c>
      <c r="D28" s="249"/>
    </row>
    <row r="29" spans="1:5" ht="16.5" thickBot="1">
      <c r="A29" s="7">
        <v>2019</v>
      </c>
      <c r="B29" s="43">
        <v>49574.45</v>
      </c>
      <c r="C29" s="38">
        <f>13902181530/1000</f>
        <v>13902181.529999999</v>
      </c>
      <c r="D29" s="249"/>
    </row>
    <row r="30" spans="1:5" s="240" customFormat="1" ht="15.75">
      <c r="A30" s="221"/>
      <c r="B30" s="222"/>
      <c r="C30" s="115"/>
      <c r="D30" s="249"/>
      <c r="E30" s="109"/>
    </row>
    <row r="31" spans="1:5">
      <c r="A31" s="2"/>
      <c r="B31" s="32"/>
      <c r="C31" s="32"/>
      <c r="D31" s="249"/>
    </row>
    <row r="32" spans="1:5">
      <c r="A32" s="24"/>
      <c r="B32" s="316" t="s">
        <v>151</v>
      </c>
      <c r="C32" s="316"/>
      <c r="D32" s="316"/>
    </row>
    <row r="33" spans="1:5">
      <c r="A33" s="24"/>
      <c r="B33" s="316" t="s">
        <v>152</v>
      </c>
      <c r="C33" s="316"/>
      <c r="D33" s="316"/>
    </row>
    <row r="34" spans="1:5" ht="15.75">
      <c r="A34" s="24"/>
      <c r="B34" s="218"/>
      <c r="C34" s="219"/>
      <c r="D34" s="251"/>
    </row>
    <row r="35" spans="1:5" s="240" customFormat="1" ht="15.75">
      <c r="A35" s="24"/>
      <c r="B35" s="218"/>
      <c r="C35" s="277"/>
      <c r="D35" s="251"/>
      <c r="E35" s="109"/>
    </row>
    <row r="36" spans="1:5" ht="15.75">
      <c r="A36" s="24"/>
      <c r="B36" s="218"/>
      <c r="C36" s="220"/>
      <c r="D36" s="252"/>
    </row>
    <row r="37" spans="1:5" ht="15.75">
      <c r="A37" s="24"/>
      <c r="B37" s="218"/>
      <c r="C37" s="220"/>
      <c r="D37" s="252"/>
    </row>
    <row r="38" spans="1:5" ht="15.75">
      <c r="A38" s="24"/>
      <c r="B38" s="317" t="s">
        <v>159</v>
      </c>
      <c r="C38" s="317"/>
      <c r="D38" s="317"/>
    </row>
    <row r="39" spans="1:5">
      <c r="A39" s="24"/>
      <c r="B39" s="316" t="s">
        <v>154</v>
      </c>
      <c r="C39" s="316"/>
      <c r="D39" s="316"/>
    </row>
    <row r="40" spans="1:5">
      <c r="A40" s="24"/>
      <c r="B40" s="316" t="s">
        <v>155</v>
      </c>
      <c r="C40" s="316"/>
      <c r="D40" s="316"/>
    </row>
    <row r="41" spans="1:5">
      <c r="A41" s="24"/>
      <c r="B41" s="32"/>
      <c r="C41" s="32"/>
      <c r="D41" s="249"/>
    </row>
    <row r="42" spans="1:5">
      <c r="A42" s="305" t="s">
        <v>31</v>
      </c>
      <c r="B42" s="305"/>
      <c r="C42" s="305"/>
      <c r="D42" s="305"/>
    </row>
  </sheetData>
  <mergeCells count="12">
    <mergeCell ref="A42:D42"/>
    <mergeCell ref="A1:C1"/>
    <mergeCell ref="A2:C2"/>
    <mergeCell ref="A3:C3"/>
    <mergeCell ref="A5:A6"/>
    <mergeCell ref="B5:B6"/>
    <mergeCell ref="C5:C6"/>
    <mergeCell ref="B32:D32"/>
    <mergeCell ref="B40:D40"/>
    <mergeCell ref="B33:D33"/>
    <mergeCell ref="B38:D38"/>
    <mergeCell ref="B39:D39"/>
  </mergeCells>
  <pageMargins left="1.3" right="0.43" top="0.75" bottom="0.75" header="0.3" footer="0.3"/>
  <pageSetup paperSize="9" scale="98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view="pageBreakPreview" topLeftCell="A11" zoomScale="60" zoomScaleNormal="80" workbookViewId="0">
      <selection activeCell="B24" sqref="B24"/>
    </sheetView>
  </sheetViews>
  <sheetFormatPr defaultColWidth="9" defaultRowHeight="15"/>
  <cols>
    <col min="1" max="1" width="27.7109375" customWidth="1"/>
    <col min="2" max="3" width="22.85546875" style="270" customWidth="1"/>
  </cols>
  <sheetData>
    <row r="1" spans="1:4">
      <c r="A1" s="298" t="s">
        <v>0</v>
      </c>
      <c r="B1" s="298"/>
      <c r="C1" s="298"/>
      <c r="D1" s="13"/>
    </row>
    <row r="2" spans="1:4">
      <c r="A2" s="298" t="s">
        <v>66</v>
      </c>
      <c r="B2" s="298"/>
      <c r="C2" s="298"/>
      <c r="D2" s="13"/>
    </row>
    <row r="3" spans="1:4">
      <c r="A3" s="298" t="s">
        <v>157</v>
      </c>
      <c r="B3" s="298"/>
      <c r="C3" s="298"/>
      <c r="D3" s="13"/>
    </row>
    <row r="4" spans="1:4">
      <c r="A4" s="100"/>
      <c r="B4" s="255"/>
      <c r="C4" s="255"/>
      <c r="D4" s="13"/>
    </row>
    <row r="5" spans="1:4" ht="15.75" thickBot="1">
      <c r="A5" s="107" t="s">
        <v>102</v>
      </c>
      <c r="B5" s="256"/>
      <c r="C5" s="256"/>
      <c r="D5" s="13"/>
    </row>
    <row r="6" spans="1:4" ht="30" customHeight="1">
      <c r="A6" s="311" t="s">
        <v>59</v>
      </c>
      <c r="B6" s="319" t="s">
        <v>67</v>
      </c>
      <c r="C6" s="319" t="s">
        <v>35</v>
      </c>
      <c r="D6" s="318"/>
    </row>
    <row r="7" spans="1:4" ht="15.75" thickBot="1">
      <c r="A7" s="312"/>
      <c r="B7" s="320"/>
      <c r="C7" s="320"/>
      <c r="D7" s="318"/>
    </row>
    <row r="8" spans="1:4" ht="15.75" thickBot="1">
      <c r="A8" s="14">
        <v>1</v>
      </c>
      <c r="B8" s="257">
        <v>2</v>
      </c>
      <c r="C8" s="257">
        <v>3</v>
      </c>
      <c r="D8" s="13"/>
    </row>
    <row r="9" spans="1:4" ht="16.5" thickBot="1">
      <c r="A9" s="16" t="s">
        <v>2</v>
      </c>
      <c r="B9" s="258">
        <v>0</v>
      </c>
      <c r="C9" s="258">
        <v>0</v>
      </c>
      <c r="D9" s="13"/>
    </row>
    <row r="10" spans="1:4" ht="16.5" thickBot="1">
      <c r="A10" s="16" t="s">
        <v>3</v>
      </c>
      <c r="B10" s="258">
        <v>0</v>
      </c>
      <c r="C10" s="258">
        <v>0</v>
      </c>
      <c r="D10" s="13"/>
    </row>
    <row r="11" spans="1:4" ht="16.5" thickBot="1">
      <c r="A11" s="16" t="s">
        <v>4</v>
      </c>
      <c r="B11" s="258">
        <v>0</v>
      </c>
      <c r="C11" s="258">
        <v>0</v>
      </c>
      <c r="D11" s="13"/>
    </row>
    <row r="12" spans="1:4" ht="16.5" thickBot="1">
      <c r="A12" s="16" t="s">
        <v>5</v>
      </c>
      <c r="B12" s="258">
        <v>0</v>
      </c>
      <c r="C12" s="258">
        <v>0</v>
      </c>
      <c r="D12" s="13"/>
    </row>
    <row r="13" spans="1:4" ht="16.5" thickBot="1">
      <c r="A13" s="16" t="s">
        <v>6</v>
      </c>
      <c r="B13" s="258">
        <v>0</v>
      </c>
      <c r="C13" s="258">
        <v>0</v>
      </c>
      <c r="D13" s="13"/>
    </row>
    <row r="14" spans="1:4" ht="16.5" thickBot="1">
      <c r="A14" s="16" t="s">
        <v>7</v>
      </c>
      <c r="B14" s="259">
        <f>'[1]Rekap Bulanan'!$G$15/1000</f>
        <v>36.69</v>
      </c>
      <c r="C14" s="259">
        <f>'[1]Rekap Bulanan'!$I$15/1000</f>
        <v>130943.7</v>
      </c>
      <c r="D14" s="13"/>
    </row>
    <row r="15" spans="1:4" ht="16.5" thickBot="1">
      <c r="A15" s="16" t="s">
        <v>8</v>
      </c>
      <c r="B15" s="259">
        <f>'[1]Rekap Bulanan'!$J$15/1000</f>
        <v>520.52700000000004</v>
      </c>
      <c r="C15" s="259">
        <f>'[1]Rekap Bulanan'!$L$15/1000</f>
        <v>1383201.8</v>
      </c>
      <c r="D15" s="13"/>
    </row>
    <row r="16" spans="1:4" ht="16.5" thickBot="1">
      <c r="A16" s="16" t="s">
        <v>9</v>
      </c>
      <c r="B16" s="260">
        <f>'[1]Rekap Bulanan'!$M$15/1000</f>
        <v>4071.8150000000001</v>
      </c>
      <c r="C16" s="261">
        <f>'[1]Rekap Bulanan'!$O$15/1000</f>
        <v>3691845.89</v>
      </c>
      <c r="D16" s="232"/>
    </row>
    <row r="17" spans="1:4" ht="16.5" thickBot="1">
      <c r="A17" s="16" t="s">
        <v>10</v>
      </c>
      <c r="B17" s="262">
        <f>'[1]Rekap Bulanan'!$P$15/1000</f>
        <v>9914.7659999999996</v>
      </c>
      <c r="C17" s="271">
        <f>'[1]Rekap Bulanan'!$R$15/1000</f>
        <v>9251927.8499999996</v>
      </c>
      <c r="D17" s="103"/>
    </row>
    <row r="18" spans="1:4" ht="16.5" thickBot="1">
      <c r="A18" s="16" t="s">
        <v>11</v>
      </c>
      <c r="B18" s="258">
        <f>'[1]Rekap Bulanan'!$S$15/1000</f>
        <v>8994.7450000000008</v>
      </c>
      <c r="C18" s="271">
        <f>'[1]Rekap Bulanan'!$U$15/1000</f>
        <v>7860203.9249999998</v>
      </c>
      <c r="D18" s="13"/>
    </row>
    <row r="19" spans="1:4" ht="16.5" thickBot="1">
      <c r="A19" s="16" t="s">
        <v>12</v>
      </c>
      <c r="B19" s="258">
        <f>6833162/1000</f>
        <v>6833.1620000000003</v>
      </c>
      <c r="C19" s="275">
        <f>5021261975/1000</f>
        <v>5021261.9749999996</v>
      </c>
      <c r="D19" s="13"/>
    </row>
    <row r="20" spans="1:4" ht="16.5" thickBot="1">
      <c r="A20" s="16" t="s">
        <v>13</v>
      </c>
      <c r="B20" s="274">
        <f>'[1]Rekap Bulanan'!$Y$15/1000</f>
        <v>242.584</v>
      </c>
      <c r="C20" s="274">
        <f>'[1]Rekap Bulanan'!$AA$15/1000</f>
        <v>272870.25</v>
      </c>
      <c r="D20" s="13"/>
    </row>
    <row r="21" spans="1:4" ht="16.5" thickBot="1">
      <c r="A21" s="234" t="s">
        <v>158</v>
      </c>
      <c r="B21" s="292">
        <f>SUM(B14:B20)</f>
        <v>30614.288999999997</v>
      </c>
      <c r="C21" s="276">
        <f>SUM(C14:C20)</f>
        <v>27612255.390000001</v>
      </c>
      <c r="D21" s="13"/>
    </row>
    <row r="22" spans="1:4" ht="16.5" thickBot="1">
      <c r="A22" s="230">
        <v>2022</v>
      </c>
      <c r="B22" s="293">
        <f>1204249/1000</f>
        <v>1204.249</v>
      </c>
      <c r="C22" s="263">
        <f>4636358650/1000</f>
        <v>4636358.6500000004</v>
      </c>
      <c r="D22" s="229"/>
    </row>
    <row r="23" spans="1:4" ht="16.5" thickBot="1">
      <c r="A23" s="7">
        <v>2021</v>
      </c>
      <c r="B23" s="89">
        <f>1458.71/1000</f>
        <v>1.45871</v>
      </c>
      <c r="C23" s="264">
        <f>1152383270/1000</f>
        <v>1152383.27</v>
      </c>
      <c r="D23" s="13"/>
    </row>
    <row r="24" spans="1:4" ht="16.5" thickBot="1">
      <c r="A24" s="7">
        <v>2020</v>
      </c>
      <c r="B24" s="45">
        <f>2410.03/1000</f>
        <v>2.4100300000000003</v>
      </c>
      <c r="C24" s="264">
        <f>1102759400/1000</f>
        <v>1102759.3999999999</v>
      </c>
      <c r="D24" s="13"/>
    </row>
    <row r="25" spans="1:4" ht="16.5" thickBot="1">
      <c r="A25" s="7">
        <v>2019</v>
      </c>
      <c r="B25" s="43">
        <f>49574.45/1000</f>
        <v>49.574449999999999</v>
      </c>
      <c r="C25" s="265">
        <f>13902181530/1000</f>
        <v>13902181.529999999</v>
      </c>
      <c r="D25" s="13"/>
    </row>
    <row r="26" spans="1:4" ht="15.75">
      <c r="A26" s="221"/>
      <c r="B26" s="266"/>
      <c r="C26" s="266"/>
      <c r="D26" s="13"/>
    </row>
    <row r="27" spans="1:4" ht="15.75">
      <c r="A27" s="221"/>
      <c r="B27" s="321"/>
      <c r="C27" s="321"/>
      <c r="D27" s="13"/>
    </row>
    <row r="28" spans="1:4" ht="15.75">
      <c r="A28" s="221"/>
      <c r="B28" s="266"/>
      <c r="C28" s="266"/>
      <c r="D28" s="13"/>
    </row>
    <row r="29" spans="1:4" ht="15.75">
      <c r="A29" s="221"/>
      <c r="B29" s="316" t="s">
        <v>151</v>
      </c>
      <c r="C29" s="316"/>
      <c r="D29" s="316"/>
    </row>
    <row r="30" spans="1:4" ht="15.75">
      <c r="A30" s="221"/>
      <c r="B30" s="316" t="s">
        <v>152</v>
      </c>
      <c r="C30" s="316"/>
      <c r="D30" s="316"/>
    </row>
    <row r="31" spans="1:4" ht="15.75">
      <c r="A31" s="221"/>
      <c r="B31" s="267"/>
      <c r="C31" s="268"/>
      <c r="D31" s="219"/>
    </row>
    <row r="32" spans="1:4" s="240" customFormat="1" ht="15.75">
      <c r="A32" s="221"/>
      <c r="B32" s="267"/>
      <c r="C32" s="268"/>
      <c r="D32" s="277"/>
    </row>
    <row r="33" spans="1:4" ht="15.75">
      <c r="A33" s="221"/>
      <c r="B33" s="267"/>
      <c r="C33" s="269"/>
      <c r="D33" s="220"/>
    </row>
    <row r="34" spans="1:4" ht="15.75">
      <c r="A34" s="221"/>
      <c r="B34" s="267"/>
      <c r="C34" s="269"/>
      <c r="D34" s="220"/>
    </row>
    <row r="35" spans="1:4" ht="15.75">
      <c r="A35" s="221"/>
      <c r="B35" s="317" t="s">
        <v>159</v>
      </c>
      <c r="C35" s="317"/>
      <c r="D35" s="317"/>
    </row>
    <row r="36" spans="1:4" ht="15.75">
      <c r="A36" s="221"/>
      <c r="B36" s="316" t="s">
        <v>154</v>
      </c>
      <c r="C36" s="316"/>
      <c r="D36" s="316"/>
    </row>
    <row r="37" spans="1:4" ht="15.75">
      <c r="A37" s="221"/>
      <c r="B37" s="316" t="s">
        <v>155</v>
      </c>
      <c r="C37" s="316"/>
      <c r="D37" s="316"/>
    </row>
    <row r="38" spans="1:4" ht="15.75">
      <c r="A38" s="221"/>
      <c r="B38" s="266"/>
      <c r="C38" s="266"/>
      <c r="D38" s="13"/>
    </row>
    <row r="39" spans="1:4">
      <c r="A39" s="24"/>
      <c r="B39" s="256"/>
      <c r="C39" s="256"/>
      <c r="D39" s="13"/>
    </row>
    <row r="40" spans="1:4">
      <c r="A40" s="305" t="s">
        <v>31</v>
      </c>
      <c r="B40" s="305"/>
      <c r="C40" s="305"/>
      <c r="D40" s="305"/>
    </row>
  </sheetData>
  <mergeCells count="14">
    <mergeCell ref="D6:D7"/>
    <mergeCell ref="A40:D40"/>
    <mergeCell ref="A1:C1"/>
    <mergeCell ref="A2:C2"/>
    <mergeCell ref="A3:C3"/>
    <mergeCell ref="A6:A7"/>
    <mergeCell ref="B6:B7"/>
    <mergeCell ref="C6:C7"/>
    <mergeCell ref="B29:D29"/>
    <mergeCell ref="B30:D30"/>
    <mergeCell ref="B35:D35"/>
    <mergeCell ref="B36:D36"/>
    <mergeCell ref="B37:D37"/>
    <mergeCell ref="B27:C27"/>
  </mergeCells>
  <pageMargins left="1.01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tabSelected="1" view="pageBreakPreview" zoomScale="60" zoomScaleNormal="80" workbookViewId="0">
      <selection activeCell="C18" sqref="C18"/>
    </sheetView>
  </sheetViews>
  <sheetFormatPr defaultColWidth="9" defaultRowHeight="15"/>
  <cols>
    <col min="1" max="1" width="26.28515625" customWidth="1"/>
    <col min="2" max="2" width="22.85546875" customWidth="1"/>
    <col min="3" max="3" width="27.85546875" style="109" customWidth="1"/>
    <col min="5" max="5" width="10.85546875" bestFit="1" customWidth="1"/>
    <col min="6" max="6" width="15.140625" bestFit="1" customWidth="1"/>
  </cols>
  <sheetData>
    <row r="1" spans="1:5">
      <c r="A1" s="298" t="s">
        <v>0</v>
      </c>
      <c r="B1" s="298"/>
      <c r="C1" s="298"/>
      <c r="D1" s="13"/>
    </row>
    <row r="2" spans="1:5">
      <c r="A2" s="298" t="s">
        <v>143</v>
      </c>
      <c r="B2" s="298"/>
      <c r="C2" s="298"/>
      <c r="D2" s="13"/>
    </row>
    <row r="3" spans="1:5">
      <c r="A3" s="298" t="s">
        <v>157</v>
      </c>
      <c r="B3" s="298"/>
      <c r="C3" s="298"/>
      <c r="D3" s="13"/>
    </row>
    <row r="4" spans="1:5">
      <c r="A4" s="100"/>
      <c r="B4" s="100"/>
      <c r="C4" s="248"/>
      <c r="D4" s="13"/>
    </row>
    <row r="5" spans="1:5" ht="15.75" thickBot="1">
      <c r="A5" s="107"/>
      <c r="B5" s="24"/>
      <c r="C5" s="249"/>
      <c r="D5" s="13"/>
    </row>
    <row r="6" spans="1:5" ht="30" customHeight="1">
      <c r="A6" s="311" t="s">
        <v>59</v>
      </c>
      <c r="B6" s="311" t="s">
        <v>29</v>
      </c>
      <c r="C6" s="322" t="s">
        <v>34</v>
      </c>
      <c r="D6" s="318"/>
    </row>
    <row r="7" spans="1:5" ht="15.75" thickBot="1">
      <c r="A7" s="312"/>
      <c r="B7" s="312"/>
      <c r="C7" s="323"/>
      <c r="D7" s="318"/>
    </row>
    <row r="8" spans="1:5" ht="15.75" thickBot="1">
      <c r="A8" s="14">
        <v>1</v>
      </c>
      <c r="B8" s="15">
        <v>2</v>
      </c>
      <c r="C8" s="253">
        <v>3</v>
      </c>
      <c r="D8" s="13"/>
    </row>
    <row r="9" spans="1:5" ht="16.5" thickBot="1">
      <c r="A9" s="16" t="s">
        <v>2</v>
      </c>
      <c r="B9" s="37">
        <v>4372</v>
      </c>
      <c r="C9" s="37">
        <v>31601</v>
      </c>
      <c r="D9" s="254"/>
      <c r="E9" s="211">
        <v>6750</v>
      </c>
    </row>
    <row r="10" spans="1:5" ht="16.5" thickBot="1">
      <c r="A10" s="16" t="s">
        <v>3</v>
      </c>
      <c r="B10" s="37">
        <v>4290</v>
      </c>
      <c r="C10" s="37">
        <v>30585</v>
      </c>
      <c r="D10" s="254"/>
    </row>
    <row r="11" spans="1:5" ht="16.5" thickBot="1">
      <c r="A11" s="16" t="s">
        <v>4</v>
      </c>
      <c r="B11" s="37">
        <v>3690</v>
      </c>
      <c r="C11" s="37">
        <v>26955</v>
      </c>
      <c r="D11" s="254"/>
    </row>
    <row r="12" spans="1:5" ht="16.5" thickBot="1">
      <c r="A12" s="16" t="s">
        <v>5</v>
      </c>
      <c r="B12" s="235">
        <v>5340</v>
      </c>
      <c r="C12" s="236">
        <v>57095</v>
      </c>
      <c r="D12" s="254"/>
    </row>
    <row r="13" spans="1:5" ht="16.5" thickBot="1">
      <c r="A13" s="16" t="s">
        <v>6</v>
      </c>
      <c r="B13" s="237">
        <v>3560</v>
      </c>
      <c r="C13" s="236">
        <v>41450</v>
      </c>
      <c r="D13" s="254"/>
    </row>
    <row r="14" spans="1:5" ht="16.5" thickBot="1">
      <c r="A14" s="16" t="s">
        <v>7</v>
      </c>
      <c r="B14" s="237">
        <v>3620</v>
      </c>
      <c r="C14" s="236">
        <v>42020</v>
      </c>
      <c r="D14" s="254"/>
    </row>
    <row r="15" spans="1:5" ht="16.5" thickBot="1">
      <c r="A15" s="16" t="s">
        <v>8</v>
      </c>
      <c r="B15" s="239">
        <v>2840</v>
      </c>
      <c r="C15" s="236">
        <v>26340</v>
      </c>
      <c r="D15" s="254"/>
    </row>
    <row r="16" spans="1:5" ht="16.5" thickBot="1">
      <c r="A16" s="16" t="s">
        <v>9</v>
      </c>
      <c r="B16" s="50">
        <v>4706</v>
      </c>
      <c r="C16" s="50">
        <v>48720</v>
      </c>
      <c r="D16" s="254"/>
    </row>
    <row r="17" spans="1:4" ht="16.5" thickBot="1">
      <c r="A17" s="16" t="s">
        <v>10</v>
      </c>
      <c r="B17" s="50">
        <v>7780</v>
      </c>
      <c r="C17" s="50">
        <v>71640</v>
      </c>
      <c r="D17" s="254"/>
    </row>
    <row r="18" spans="1:4" ht="16.5" thickBot="1">
      <c r="A18" s="16" t="s">
        <v>11</v>
      </c>
      <c r="B18" s="50">
        <v>5719</v>
      </c>
      <c r="C18" s="67">
        <v>48234</v>
      </c>
      <c r="D18" s="254"/>
    </row>
    <row r="19" spans="1:4" ht="16.5" thickBot="1">
      <c r="A19" s="16" t="s">
        <v>12</v>
      </c>
      <c r="B19" s="50">
        <v>1210</v>
      </c>
      <c r="C19" s="50">
        <v>11440</v>
      </c>
      <c r="D19" s="254"/>
    </row>
    <row r="20" spans="1:4" ht="16.5" thickBot="1">
      <c r="A20" s="16" t="s">
        <v>13</v>
      </c>
      <c r="B20" s="37">
        <v>1930</v>
      </c>
      <c r="C20" s="37">
        <f>17940000/1000</f>
        <v>17940</v>
      </c>
      <c r="D20" s="254"/>
    </row>
    <row r="21" spans="1:4" ht="16.5" thickBot="1">
      <c r="A21" s="7" t="s">
        <v>158</v>
      </c>
      <c r="B21" s="238">
        <f>SUM(B9:B20)</f>
        <v>49057</v>
      </c>
      <c r="C21" s="231">
        <f>SUM(C9:C20)</f>
        <v>454020</v>
      </c>
      <c r="D21" s="113"/>
    </row>
    <row r="22" spans="1:4" ht="16.5" thickBot="1">
      <c r="A22" s="7">
        <v>2022</v>
      </c>
      <c r="B22" s="233">
        <v>57195</v>
      </c>
      <c r="C22" s="231">
        <v>386066.25</v>
      </c>
      <c r="D22" s="254"/>
    </row>
    <row r="23" spans="1:4" ht="16.5" thickBot="1">
      <c r="A23" s="7">
        <v>2021</v>
      </c>
      <c r="B23" s="26">
        <v>58538</v>
      </c>
      <c r="C23" s="250">
        <f>321076000/1000</f>
        <v>321076</v>
      </c>
      <c r="D23" s="13"/>
    </row>
    <row r="24" spans="1:4" ht="16.5" thickBot="1">
      <c r="A24" s="7">
        <v>2020</v>
      </c>
      <c r="B24" s="26">
        <v>28156</v>
      </c>
      <c r="C24" s="250">
        <f>128764500/1000</f>
        <v>128764.5</v>
      </c>
      <c r="D24" s="13"/>
    </row>
    <row r="25" spans="1:4" ht="15.75">
      <c r="A25" s="221"/>
      <c r="B25" s="222"/>
      <c r="C25" s="115"/>
      <c r="D25" s="13"/>
    </row>
    <row r="26" spans="1:4" ht="15.75">
      <c r="A26" s="221"/>
      <c r="B26" s="324"/>
      <c r="C26" s="324"/>
      <c r="D26" s="13"/>
    </row>
    <row r="27" spans="1:4" ht="15.75">
      <c r="A27" s="221"/>
      <c r="B27" s="222"/>
      <c r="C27" s="115"/>
      <c r="D27" s="13"/>
    </row>
    <row r="28" spans="1:4" ht="15.75">
      <c r="A28" s="221"/>
      <c r="B28" s="316" t="s">
        <v>151</v>
      </c>
      <c r="C28" s="316"/>
      <c r="D28" s="316"/>
    </row>
    <row r="29" spans="1:4" ht="15.75">
      <c r="A29" s="221"/>
      <c r="B29" s="316" t="s">
        <v>152</v>
      </c>
      <c r="C29" s="316"/>
      <c r="D29" s="316"/>
    </row>
    <row r="30" spans="1:4" ht="15.75">
      <c r="A30" s="221"/>
      <c r="B30" s="218"/>
      <c r="C30" s="251"/>
      <c r="D30" s="219"/>
    </row>
    <row r="31" spans="1:4" s="240" customFormat="1" ht="15.75">
      <c r="A31" s="221"/>
      <c r="B31" s="218"/>
      <c r="C31" s="251"/>
      <c r="D31" s="277"/>
    </row>
    <row r="32" spans="1:4" ht="15.75">
      <c r="A32" s="221"/>
      <c r="B32" s="218"/>
      <c r="C32" s="252"/>
      <c r="D32" s="220"/>
    </row>
    <row r="33" spans="1:4" ht="15.75">
      <c r="A33" s="221"/>
      <c r="B33" s="218"/>
      <c r="C33" s="252"/>
      <c r="D33" s="220"/>
    </row>
    <row r="34" spans="1:4" ht="15.75">
      <c r="A34" s="221"/>
      <c r="B34" s="317" t="s">
        <v>159</v>
      </c>
      <c r="C34" s="317"/>
      <c r="D34" s="317"/>
    </row>
    <row r="35" spans="1:4" ht="15.75">
      <c r="A35" s="221"/>
      <c r="B35" s="316" t="s">
        <v>154</v>
      </c>
      <c r="C35" s="316"/>
      <c r="D35" s="316"/>
    </row>
    <row r="36" spans="1:4" ht="15.75">
      <c r="A36" s="221"/>
      <c r="B36" s="316" t="s">
        <v>155</v>
      </c>
      <c r="C36" s="316"/>
      <c r="D36" s="316"/>
    </row>
    <row r="37" spans="1:4" ht="15.75">
      <c r="A37" s="221"/>
      <c r="B37" s="222"/>
      <c r="C37" s="115"/>
      <c r="D37" s="13"/>
    </row>
    <row r="38" spans="1:4">
      <c r="A38" s="305" t="s">
        <v>31</v>
      </c>
      <c r="B38" s="305"/>
      <c r="C38" s="305"/>
      <c r="D38" s="305"/>
    </row>
  </sheetData>
  <mergeCells count="14">
    <mergeCell ref="D6:D7"/>
    <mergeCell ref="A38:D38"/>
    <mergeCell ref="A1:C1"/>
    <mergeCell ref="A2:C2"/>
    <mergeCell ref="A3:C3"/>
    <mergeCell ref="A6:A7"/>
    <mergeCell ref="B6:B7"/>
    <mergeCell ref="C6:C7"/>
    <mergeCell ref="B28:D28"/>
    <mergeCell ref="B29:D29"/>
    <mergeCell ref="B34:D34"/>
    <mergeCell ref="B35:D35"/>
    <mergeCell ref="B36:D36"/>
    <mergeCell ref="B26:C26"/>
  </mergeCells>
  <pageMargins left="1.1499999999999999" right="0.7" top="0.75" bottom="0.75" header="0.3" footer="0.3"/>
  <pageSetup paperSize="9" scale="95" orientation="portrait" horizontalDpi="300" verticalDpi="300" r:id="rId1"/>
  <colBreaks count="1" manualBreakCount="1">
    <brk id="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4"/>
  <sheetViews>
    <sheetView view="pageBreakPreview" topLeftCell="A16" zoomScale="60" zoomScaleNormal="80" workbookViewId="0">
      <selection sqref="A1:D45"/>
    </sheetView>
  </sheetViews>
  <sheetFormatPr defaultColWidth="9" defaultRowHeight="15"/>
  <cols>
    <col min="1" max="1" width="27.42578125" customWidth="1"/>
    <col min="2" max="2" width="22.85546875" customWidth="1"/>
    <col min="3" max="3" width="25" customWidth="1"/>
    <col min="4" max="4" width="10.85546875" bestFit="1" customWidth="1"/>
    <col min="5" max="5" width="16.42578125" style="109" bestFit="1" customWidth="1"/>
    <col min="6" max="7" width="16.28515625" style="109" bestFit="1" customWidth="1"/>
    <col min="10" max="10" width="19" customWidth="1"/>
    <col min="11" max="11" width="17.7109375" customWidth="1"/>
    <col min="12" max="12" width="17.42578125" customWidth="1"/>
    <col min="13" max="14" width="16.28515625" bestFit="1" customWidth="1"/>
  </cols>
  <sheetData>
    <row r="1" spans="1:14">
      <c r="A1" s="298" t="s">
        <v>0</v>
      </c>
      <c r="B1" s="298"/>
      <c r="C1" s="298"/>
      <c r="D1" s="13"/>
    </row>
    <row r="2" spans="1:14">
      <c r="A2" s="298" t="s">
        <v>103</v>
      </c>
      <c r="B2" s="298"/>
      <c r="C2" s="298"/>
      <c r="D2" s="13"/>
    </row>
    <row r="3" spans="1:14">
      <c r="A3" s="298" t="s">
        <v>157</v>
      </c>
      <c r="B3" s="298"/>
      <c r="C3" s="298"/>
      <c r="D3" s="13"/>
    </row>
    <row r="4" spans="1:14">
      <c r="A4" s="100"/>
      <c r="B4" s="100"/>
      <c r="C4" s="100"/>
      <c r="D4" s="13"/>
    </row>
    <row r="5" spans="1:14" ht="15.75" thickBot="1">
      <c r="A5" s="107"/>
      <c r="B5" s="2"/>
      <c r="C5" s="2"/>
      <c r="D5" s="13"/>
    </row>
    <row r="6" spans="1:14" ht="30" customHeight="1">
      <c r="A6" s="311" t="s">
        <v>59</v>
      </c>
      <c r="B6" s="311" t="s">
        <v>29</v>
      </c>
      <c r="C6" s="311" t="s">
        <v>35</v>
      </c>
      <c r="D6" s="318"/>
    </row>
    <row r="7" spans="1:14" ht="15.75" thickBot="1">
      <c r="A7" s="312"/>
      <c r="B7" s="312"/>
      <c r="C7" s="312"/>
      <c r="D7" s="318"/>
    </row>
    <row r="8" spans="1:14" ht="15.75" thickBot="1">
      <c r="A8" s="14">
        <v>1</v>
      </c>
      <c r="B8" s="15">
        <v>2</v>
      </c>
      <c r="C8" s="15">
        <v>3</v>
      </c>
      <c r="D8" s="13"/>
    </row>
    <row r="9" spans="1:14" ht="15.75" thickBot="1">
      <c r="A9" s="16" t="s">
        <v>2</v>
      </c>
      <c r="B9" s="198">
        <v>373145</v>
      </c>
      <c r="C9" s="223">
        <f>8960759000/1000</f>
        <v>8960759</v>
      </c>
      <c r="D9" s="13"/>
    </row>
    <row r="10" spans="1:14" ht="15.75" thickBot="1">
      <c r="A10" s="16" t="s">
        <v>3</v>
      </c>
      <c r="B10" s="198">
        <v>393038</v>
      </c>
      <c r="C10" s="223">
        <f>9688886000/1000</f>
        <v>9688886</v>
      </c>
      <c r="D10" s="13"/>
    </row>
    <row r="11" spans="1:14" ht="15.75" thickBot="1">
      <c r="A11" s="16" t="s">
        <v>4</v>
      </c>
      <c r="B11" s="198">
        <v>411221</v>
      </c>
      <c r="C11" s="223">
        <f>9864234000/1000</f>
        <v>9864234</v>
      </c>
      <c r="D11" s="13"/>
    </row>
    <row r="12" spans="1:14" ht="15.75" thickBot="1">
      <c r="A12" s="16" t="s">
        <v>5</v>
      </c>
      <c r="B12" s="198">
        <v>543392</v>
      </c>
      <c r="C12" s="223">
        <f>11943081700/1000</f>
        <v>11943081.699999999</v>
      </c>
      <c r="D12" s="13"/>
      <c r="F12" s="278"/>
      <c r="G12" s="278"/>
      <c r="H12" s="211"/>
      <c r="I12" s="211"/>
      <c r="J12" s="211"/>
      <c r="K12" s="211"/>
      <c r="L12" s="211"/>
      <c r="M12" s="211"/>
      <c r="N12" s="211"/>
    </row>
    <row r="13" spans="1:14" ht="15.75" thickBot="1">
      <c r="A13" s="16" t="s">
        <v>6</v>
      </c>
      <c r="B13" s="198">
        <v>412957</v>
      </c>
      <c r="C13" s="223">
        <f>11520580500/1000</f>
        <v>11520580.5</v>
      </c>
      <c r="D13" s="13"/>
      <c r="F13" s="278"/>
      <c r="G13" s="278"/>
      <c r="H13" s="211"/>
      <c r="I13" s="211"/>
      <c r="J13" s="211"/>
      <c r="K13" s="211"/>
      <c r="L13" s="211"/>
      <c r="M13" s="211"/>
      <c r="N13" s="211"/>
    </row>
    <row r="14" spans="1:14" ht="15.75" thickBot="1">
      <c r="A14" s="197" t="s">
        <v>7</v>
      </c>
      <c r="B14" s="198">
        <v>415923</v>
      </c>
      <c r="C14" s="224">
        <f>11027580190/1000</f>
        <v>11027580.189999999</v>
      </c>
      <c r="D14" s="13"/>
      <c r="F14" s="278"/>
      <c r="G14" s="278"/>
      <c r="H14" s="211"/>
      <c r="I14" s="211"/>
      <c r="J14" s="213">
        <f>J15+[2]Agsts!$I$371</f>
        <v>401064.5</v>
      </c>
      <c r="K14" s="213">
        <f>K15+[2]Agsts!$J$371</f>
        <v>-1020376181</v>
      </c>
      <c r="L14" s="213">
        <f>L15+[2]APRIL!$I$307</f>
        <v>449498.4</v>
      </c>
      <c r="M14" s="213">
        <f>M15+[2]APRIL!$J$307</f>
        <v>1042797108</v>
      </c>
      <c r="N14" s="211"/>
    </row>
    <row r="15" spans="1:14" ht="15.75" thickBot="1">
      <c r="A15" s="197" t="s">
        <v>8</v>
      </c>
      <c r="B15" s="199">
        <v>420082</v>
      </c>
      <c r="C15" s="225">
        <f>12123819000/1000</f>
        <v>12123819</v>
      </c>
      <c r="D15" s="13"/>
      <c r="F15" s="278"/>
      <c r="G15" s="278"/>
      <c r="H15" s="211"/>
      <c r="I15" s="211"/>
      <c r="J15" s="212">
        <f>J17-[2]APRIL!$I$307</f>
        <v>388564.5</v>
      </c>
      <c r="K15" s="212">
        <f>K16-[2]APRIL!$J$307</f>
        <v>-3145376181</v>
      </c>
      <c r="L15" s="212">
        <f>L17-12500</f>
        <v>438973.4</v>
      </c>
      <c r="M15" s="212">
        <f>L16-2125000000</f>
        <v>-2114702892</v>
      </c>
      <c r="N15" s="211"/>
    </row>
    <row r="16" spans="1:14" ht="15.75" thickBot="1">
      <c r="A16" s="16" t="s">
        <v>9</v>
      </c>
      <c r="B16" s="200">
        <v>380236</v>
      </c>
      <c r="C16" s="223">
        <f>10297108000/1000</f>
        <v>10297108</v>
      </c>
      <c r="D16" s="13"/>
      <c r="F16" s="278"/>
      <c r="G16" s="278"/>
      <c r="H16" s="211"/>
      <c r="I16" s="211"/>
      <c r="J16" s="212">
        <f>C12</f>
        <v>11943081.699999999</v>
      </c>
      <c r="K16" s="212">
        <f>C15</f>
        <v>12123819</v>
      </c>
      <c r="L16" s="212">
        <f>C16</f>
        <v>10297108</v>
      </c>
      <c r="M16" s="212">
        <f>SUM(J16:L16)</f>
        <v>34364008.700000003</v>
      </c>
      <c r="N16" s="212">
        <f>K14+K16+M14</f>
        <v>34544746</v>
      </c>
    </row>
    <row r="17" spans="1:14" ht="16.5" thickBot="1">
      <c r="A17" s="16" t="s">
        <v>10</v>
      </c>
      <c r="B17" s="50">
        <v>434992</v>
      </c>
      <c r="C17" s="226">
        <f>12974359000/1000</f>
        <v>12974359</v>
      </c>
      <c r="D17" s="34"/>
      <c r="F17" s="278"/>
      <c r="G17" s="278" t="s">
        <v>150</v>
      </c>
      <c r="H17" s="211" t="s">
        <v>149</v>
      </c>
      <c r="I17" s="211"/>
      <c r="J17" s="216">
        <v>399089.5</v>
      </c>
      <c r="K17" s="217">
        <v>428602.60000000003</v>
      </c>
      <c r="L17" s="216">
        <v>451473.4</v>
      </c>
      <c r="M17" s="211"/>
      <c r="N17" s="211"/>
    </row>
    <row r="18" spans="1:14" ht="16.5" thickBot="1">
      <c r="A18" s="16" t="s">
        <v>11</v>
      </c>
      <c r="B18" s="50">
        <v>391321</v>
      </c>
      <c r="C18" s="227">
        <f>10659389000/1000</f>
        <v>10659389</v>
      </c>
      <c r="D18" s="13"/>
      <c r="F18" s="279"/>
      <c r="G18" s="279"/>
      <c r="H18" s="211" t="s">
        <v>148</v>
      </c>
      <c r="I18" s="211"/>
      <c r="J18" s="212">
        <f>B13</f>
        <v>412957</v>
      </c>
      <c r="K18" s="212">
        <f>B18</f>
        <v>391321</v>
      </c>
      <c r="L18" s="212">
        <f>B17</f>
        <v>434992</v>
      </c>
      <c r="M18" s="211"/>
      <c r="N18" s="211"/>
    </row>
    <row r="19" spans="1:14" ht="16.5" thickBot="1">
      <c r="A19" s="16" t="s">
        <v>12</v>
      </c>
      <c r="B19" s="50">
        <v>433550</v>
      </c>
      <c r="C19" s="282">
        <f>11670948000/1000</f>
        <v>11670948</v>
      </c>
      <c r="D19" s="13"/>
      <c r="F19" s="279"/>
      <c r="G19" s="279"/>
      <c r="H19" s="211"/>
      <c r="I19" s="211"/>
      <c r="J19" s="212">
        <f>C13</f>
        <v>11520580.5</v>
      </c>
      <c r="K19" s="212">
        <f>C18</f>
        <v>10659389</v>
      </c>
      <c r="L19" s="212">
        <f>C17</f>
        <v>12974359</v>
      </c>
      <c r="M19" s="212">
        <f>SUM(J19:L19)</f>
        <v>35154328.5</v>
      </c>
      <c r="N19" s="211"/>
    </row>
    <row r="20" spans="1:14" ht="16.5" thickBot="1">
      <c r="A20" s="16" t="s">
        <v>13</v>
      </c>
      <c r="B20" s="281">
        <v>461068</v>
      </c>
      <c r="C20" s="284">
        <f>12714827900/1000</f>
        <v>12714827.9</v>
      </c>
      <c r="D20" s="285"/>
      <c r="E20" s="278"/>
      <c r="F20" s="278"/>
      <c r="G20" s="278"/>
      <c r="H20" s="211"/>
      <c r="I20" s="211"/>
      <c r="J20" s="211"/>
      <c r="K20" s="211"/>
      <c r="L20" s="211"/>
      <c r="M20" s="211"/>
      <c r="N20" s="211"/>
    </row>
    <row r="21" spans="1:14" ht="16.5" thickBot="1">
      <c r="A21" s="7" t="s">
        <v>158</v>
      </c>
      <c r="B21" s="238">
        <f>SUM(B9:B20)</f>
        <v>5070925</v>
      </c>
      <c r="C21" s="283">
        <f>SUM(C9:C20)</f>
        <v>133445572.29000001</v>
      </c>
      <c r="D21" s="13"/>
      <c r="E21" s="280"/>
      <c r="F21" s="280"/>
      <c r="G21" s="278"/>
      <c r="H21" s="211"/>
      <c r="I21" s="211"/>
      <c r="J21" s="211"/>
      <c r="K21" s="211"/>
      <c r="L21" s="211"/>
      <c r="M21" s="211"/>
      <c r="N21" s="211"/>
    </row>
    <row r="22" spans="1:14" ht="16.5" thickBot="1">
      <c r="A22" s="7">
        <v>2022</v>
      </c>
      <c r="B22" s="247">
        <v>4730141</v>
      </c>
      <c r="C22" s="247">
        <v>148325931</v>
      </c>
      <c r="D22" s="13"/>
      <c r="E22" s="278"/>
      <c r="F22" s="278"/>
      <c r="G22" s="278"/>
      <c r="H22" s="211"/>
      <c r="I22" s="211"/>
      <c r="J22" s="214">
        <v>31759708800</v>
      </c>
      <c r="K22" s="211"/>
      <c r="L22" s="211"/>
      <c r="M22" s="211"/>
      <c r="N22" s="211"/>
    </row>
    <row r="23" spans="1:14" ht="16.5" thickBot="1">
      <c r="A23" s="7">
        <v>2021</v>
      </c>
      <c r="B23" s="26">
        <v>6111549.7999999998</v>
      </c>
      <c r="C23" s="228">
        <f>132957100000/1000</f>
        <v>132957100</v>
      </c>
      <c r="D23" s="13"/>
      <c r="E23" s="278"/>
      <c r="F23" s="278"/>
      <c r="G23" s="278"/>
      <c r="H23" s="211"/>
      <c r="I23" s="211"/>
      <c r="J23" s="211"/>
      <c r="K23" s="211"/>
      <c r="L23" s="211"/>
      <c r="M23" s="211"/>
      <c r="N23" s="211"/>
    </row>
    <row r="24" spans="1:14" ht="16.5" thickBot="1">
      <c r="A24" s="7">
        <v>2020</v>
      </c>
      <c r="B24" s="40">
        <v>3258696</v>
      </c>
      <c r="C24" s="40">
        <f>121493748000/1000</f>
        <v>121493748</v>
      </c>
      <c r="D24" s="13"/>
      <c r="E24" s="278"/>
      <c r="F24" s="278"/>
      <c r="G24" s="278"/>
      <c r="H24" s="211"/>
      <c r="I24" s="211"/>
      <c r="J24" s="215">
        <f>[2]APRIL!$G$310+[2]Juli!$G$379+[2]Agsts!$G$369</f>
        <v>1279165.5</v>
      </c>
      <c r="K24" s="211"/>
      <c r="L24" s="211"/>
      <c r="M24" s="211"/>
      <c r="N24" s="211"/>
    </row>
    <row r="25" spans="1:14">
      <c r="A25" s="305" t="s">
        <v>31</v>
      </c>
      <c r="B25" s="305"/>
      <c r="C25" s="305"/>
      <c r="D25" s="305"/>
    </row>
    <row r="28" spans="1:14" ht="39" customHeight="1" thickBot="1">
      <c r="A28" s="122"/>
      <c r="B28" s="123" t="s">
        <v>29</v>
      </c>
      <c r="C28" s="123" t="s">
        <v>33</v>
      </c>
    </row>
    <row r="29" spans="1:14" ht="15.75" thickBot="1">
      <c r="A29" s="125" t="s">
        <v>121</v>
      </c>
      <c r="B29" s="124">
        <f>SUM(B9:B11)</f>
        <v>1177404</v>
      </c>
      <c r="C29" s="124">
        <f>SUM(C9:C11)</f>
        <v>28513879</v>
      </c>
    </row>
    <row r="30" spans="1:14" ht="15.75" thickBot="1">
      <c r="A30" s="125" t="s">
        <v>118</v>
      </c>
      <c r="B30" s="124">
        <f>SUM(B12:B14)</f>
        <v>1372272</v>
      </c>
      <c r="C30" s="124">
        <f>SUM(C12:C14)</f>
        <v>34491242.390000001</v>
      </c>
    </row>
    <row r="31" spans="1:14" ht="15.75" thickBot="1">
      <c r="A31" s="125" t="s">
        <v>119</v>
      </c>
      <c r="B31" s="124">
        <f>SUM(B15:B17)</f>
        <v>1235310</v>
      </c>
      <c r="C31" s="124">
        <f>SUM(C15:C17)</f>
        <v>35395286</v>
      </c>
    </row>
    <row r="32" spans="1:14" ht="15.75" thickBot="1">
      <c r="A32" s="125" t="s">
        <v>120</v>
      </c>
      <c r="B32" s="124">
        <f>SUM(B18:B20)</f>
        <v>1285939</v>
      </c>
      <c r="C32" s="124">
        <f>SUM(C18:C20)</f>
        <v>35045164.899999999</v>
      </c>
    </row>
    <row r="33" spans="1:7" ht="15.75" thickBot="1">
      <c r="A33" s="125" t="s">
        <v>69</v>
      </c>
      <c r="B33" s="126">
        <f>SUM(B29:B32)</f>
        <v>5070925</v>
      </c>
      <c r="C33" s="126">
        <f>SUM(C29:C32)</f>
        <v>133445572.28999999</v>
      </c>
    </row>
    <row r="34" spans="1:7">
      <c r="B34" s="324"/>
      <c r="C34" s="324"/>
      <c r="D34" s="13"/>
    </row>
    <row r="35" spans="1:7" ht="15.75">
      <c r="B35" s="115"/>
      <c r="C35" s="115"/>
      <c r="D35" s="13"/>
    </row>
    <row r="36" spans="1:7">
      <c r="B36" s="316" t="s">
        <v>151</v>
      </c>
      <c r="C36" s="316"/>
      <c r="D36" s="316"/>
    </row>
    <row r="37" spans="1:7">
      <c r="B37" s="316" t="s">
        <v>152</v>
      </c>
      <c r="C37" s="316"/>
      <c r="D37" s="316"/>
    </row>
    <row r="38" spans="1:7" ht="15.75">
      <c r="B38" s="218"/>
      <c r="C38" s="219"/>
      <c r="D38" s="219"/>
    </row>
    <row r="39" spans="1:7" s="240" customFormat="1" ht="15.75">
      <c r="B39" s="218"/>
      <c r="C39" s="277"/>
      <c r="D39" s="277"/>
      <c r="E39" s="109"/>
      <c r="F39" s="109"/>
      <c r="G39" s="109"/>
    </row>
    <row r="40" spans="1:7" ht="15.75">
      <c r="B40" s="218"/>
      <c r="C40" s="220"/>
      <c r="D40" s="220"/>
    </row>
    <row r="41" spans="1:7" ht="15.75">
      <c r="B41" s="218"/>
      <c r="C41" s="220"/>
      <c r="D41" s="220"/>
    </row>
    <row r="42" spans="1:7" ht="15.75">
      <c r="B42" s="317" t="s">
        <v>153</v>
      </c>
      <c r="C42" s="317"/>
      <c r="D42" s="317"/>
    </row>
    <row r="43" spans="1:7">
      <c r="B43" s="316" t="s">
        <v>154</v>
      </c>
      <c r="C43" s="316"/>
      <c r="D43" s="316"/>
    </row>
    <row r="44" spans="1:7">
      <c r="B44" s="316" t="s">
        <v>155</v>
      </c>
      <c r="C44" s="316"/>
      <c r="D44" s="316"/>
    </row>
  </sheetData>
  <mergeCells count="14">
    <mergeCell ref="B44:D44"/>
    <mergeCell ref="A25:D25"/>
    <mergeCell ref="C6:C7"/>
    <mergeCell ref="A1:C1"/>
    <mergeCell ref="A2:C2"/>
    <mergeCell ref="A3:C3"/>
    <mergeCell ref="A6:A7"/>
    <mergeCell ref="B6:B7"/>
    <mergeCell ref="D6:D7"/>
    <mergeCell ref="B34:C34"/>
    <mergeCell ref="B36:D36"/>
    <mergeCell ref="B37:D37"/>
    <mergeCell ref="B42:D42"/>
    <mergeCell ref="B43:D43"/>
  </mergeCells>
  <pageMargins left="1.1499999999999999" right="0.7" top="0.75" bottom="0.75" header="0.3" footer="0.3"/>
  <pageSetup paperSize="9" scale="94" orientation="portrait" horizontalDpi="300" verticalDpi="300" r:id="rId1"/>
  <colBreaks count="1" manualBreakCount="1">
    <brk id="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WhiteSpace="0" zoomScale="70" zoomScaleNormal="70" zoomScalePageLayoutView="68" workbookViewId="0">
      <selection activeCell="G20" sqref="G20"/>
    </sheetView>
  </sheetViews>
  <sheetFormatPr defaultColWidth="9" defaultRowHeight="15"/>
  <cols>
    <col min="2" max="2" width="21" customWidth="1"/>
    <col min="3" max="3" width="13" customWidth="1"/>
    <col min="4" max="4" width="13.140625" customWidth="1"/>
    <col min="5" max="5" width="14.5703125" customWidth="1"/>
    <col min="6" max="6" width="18.28515625" customWidth="1"/>
    <col min="7" max="7" width="12" customWidth="1"/>
    <col min="8" max="8" width="12.7109375" customWidth="1"/>
    <col min="9" max="9" width="13.85546875" customWidth="1"/>
    <col min="10" max="10" width="14.42578125" customWidth="1"/>
  </cols>
  <sheetData>
    <row r="1" spans="1:1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"/>
    </row>
    <row r="2" spans="1:11">
      <c r="A2" s="298" t="s">
        <v>89</v>
      </c>
      <c r="B2" s="298"/>
      <c r="C2" s="298"/>
      <c r="D2" s="298"/>
      <c r="E2" s="298"/>
      <c r="F2" s="298"/>
      <c r="G2" s="298"/>
      <c r="H2" s="298"/>
      <c r="I2" s="298"/>
      <c r="J2" s="298"/>
      <c r="K2" s="25"/>
    </row>
    <row r="3" spans="1:11">
      <c r="A3" s="298" t="s">
        <v>122</v>
      </c>
      <c r="B3" s="298"/>
      <c r="C3" s="298"/>
      <c r="D3" s="298"/>
      <c r="E3" s="298"/>
      <c r="F3" s="298"/>
      <c r="G3" s="298"/>
      <c r="H3" s="298"/>
      <c r="I3" s="298"/>
      <c r="J3" s="298"/>
      <c r="K3" s="25"/>
    </row>
    <row r="4" spans="1:11" ht="15.75" thickBot="1">
      <c r="A4" s="331"/>
      <c r="B4" s="331"/>
      <c r="C4" s="2"/>
      <c r="D4" s="2"/>
      <c r="E4" s="2"/>
      <c r="F4" s="2"/>
      <c r="G4" s="2"/>
      <c r="H4" s="2"/>
      <c r="I4" s="2"/>
      <c r="J4" s="2"/>
      <c r="K4" s="2"/>
    </row>
    <row r="5" spans="1:11" ht="23.25" customHeight="1" thickBot="1">
      <c r="A5" s="332" t="s">
        <v>88</v>
      </c>
      <c r="B5" s="333"/>
      <c r="C5" s="338" t="s">
        <v>68</v>
      </c>
      <c r="D5" s="339"/>
      <c r="E5" s="339"/>
      <c r="F5" s="339"/>
      <c r="G5" s="339"/>
      <c r="H5" s="339"/>
      <c r="I5" s="340"/>
      <c r="J5" s="341" t="s">
        <v>69</v>
      </c>
      <c r="K5" s="2"/>
    </row>
    <row r="6" spans="1:11" ht="21.75" customHeight="1" thickBot="1">
      <c r="A6" s="334"/>
      <c r="B6" s="335"/>
      <c r="C6" s="94" t="s">
        <v>70</v>
      </c>
      <c r="D6" s="94" t="s">
        <v>71</v>
      </c>
      <c r="E6" s="94" t="s">
        <v>72</v>
      </c>
      <c r="F6" s="94" t="s">
        <v>73</v>
      </c>
      <c r="G6" s="94" t="s">
        <v>74</v>
      </c>
      <c r="H6" s="94" t="s">
        <v>75</v>
      </c>
      <c r="I6" s="94" t="s">
        <v>93</v>
      </c>
      <c r="J6" s="342"/>
      <c r="K6" s="2"/>
    </row>
    <row r="7" spans="1:11" ht="16.5" thickBot="1">
      <c r="A7" s="336"/>
      <c r="B7" s="337"/>
      <c r="C7" s="33"/>
      <c r="D7" s="33"/>
      <c r="E7" s="33"/>
      <c r="F7" s="33"/>
      <c r="G7" s="33"/>
      <c r="H7" s="33"/>
      <c r="I7" s="33"/>
      <c r="J7" s="33"/>
      <c r="K7" s="2"/>
    </row>
    <row r="8" spans="1:11" ht="16.5" thickBot="1">
      <c r="A8" s="343" t="s">
        <v>76</v>
      </c>
      <c r="B8" s="344"/>
      <c r="C8" s="128">
        <v>0</v>
      </c>
      <c r="D8" s="128">
        <v>0</v>
      </c>
      <c r="E8" s="128">
        <v>0</v>
      </c>
      <c r="F8" s="129">
        <v>3</v>
      </c>
      <c r="G8" s="129">
        <v>0</v>
      </c>
      <c r="H8" s="129">
        <v>21</v>
      </c>
      <c r="I8" s="129">
        <v>3</v>
      </c>
      <c r="J8" s="130">
        <f>SUM(C8:I8)</f>
        <v>27</v>
      </c>
      <c r="K8" s="42"/>
    </row>
    <row r="9" spans="1:11" ht="16.5" thickBot="1">
      <c r="A9" s="326" t="s">
        <v>77</v>
      </c>
      <c r="B9" s="327"/>
      <c r="C9" s="129">
        <v>109</v>
      </c>
      <c r="D9" s="129">
        <v>7</v>
      </c>
      <c r="E9" s="131">
        <f>28+4</f>
        <v>32</v>
      </c>
      <c r="F9" s="131">
        <v>55</v>
      </c>
      <c r="G9" s="129">
        <v>10</v>
      </c>
      <c r="H9" s="131">
        <v>94</v>
      </c>
      <c r="I9" s="131">
        <v>0</v>
      </c>
      <c r="J9" s="132">
        <f t="shared" ref="J9:J19" si="0">SUM(C9:I9)</f>
        <v>307</v>
      </c>
      <c r="K9" s="42"/>
    </row>
    <row r="10" spans="1:11" ht="16.5" thickBot="1">
      <c r="A10" s="326" t="s">
        <v>78</v>
      </c>
      <c r="B10" s="327"/>
      <c r="C10" s="129">
        <v>0</v>
      </c>
      <c r="D10" s="129">
        <v>0</v>
      </c>
      <c r="E10" s="129">
        <f>38+3</f>
        <v>41</v>
      </c>
      <c r="F10" s="129">
        <v>103</v>
      </c>
      <c r="G10" s="129">
        <v>0</v>
      </c>
      <c r="H10" s="129">
        <v>12</v>
      </c>
      <c r="I10" s="129">
        <v>0</v>
      </c>
      <c r="J10" s="130">
        <f t="shared" si="0"/>
        <v>156</v>
      </c>
      <c r="K10" s="42"/>
    </row>
    <row r="11" spans="1:11" ht="16.5" thickBot="1">
      <c r="A11" s="326" t="s">
        <v>79</v>
      </c>
      <c r="B11" s="327"/>
      <c r="C11" s="129">
        <v>6</v>
      </c>
      <c r="D11" s="129">
        <v>0</v>
      </c>
      <c r="E11" s="129">
        <v>57</v>
      </c>
      <c r="F11" s="129">
        <v>115</v>
      </c>
      <c r="G11" s="129">
        <v>0</v>
      </c>
      <c r="H11" s="129">
        <v>80</v>
      </c>
      <c r="I11" s="129">
        <v>10</v>
      </c>
      <c r="J11" s="130">
        <f t="shared" si="0"/>
        <v>268</v>
      </c>
      <c r="K11" s="42"/>
    </row>
    <row r="12" spans="1:11" ht="16.5" thickBot="1">
      <c r="A12" s="326" t="s">
        <v>80</v>
      </c>
      <c r="B12" s="327"/>
      <c r="C12" s="129">
        <v>0</v>
      </c>
      <c r="D12" s="129">
        <v>2</v>
      </c>
      <c r="E12" s="129">
        <v>0</v>
      </c>
      <c r="F12" s="129">
        <v>0</v>
      </c>
      <c r="G12" s="131">
        <v>114</v>
      </c>
      <c r="H12" s="129">
        <v>0</v>
      </c>
      <c r="I12" s="131">
        <v>32</v>
      </c>
      <c r="J12" s="132">
        <f t="shared" si="0"/>
        <v>148</v>
      </c>
      <c r="K12" s="42"/>
    </row>
    <row r="13" spans="1:11" ht="16.5" thickBot="1">
      <c r="A13" s="326" t="s">
        <v>81</v>
      </c>
      <c r="B13" s="327"/>
      <c r="C13" s="129">
        <v>87</v>
      </c>
      <c r="D13" s="131">
        <v>245</v>
      </c>
      <c r="E13" s="129">
        <f>3+1</f>
        <v>4</v>
      </c>
      <c r="F13" s="129">
        <v>0</v>
      </c>
      <c r="G13" s="129">
        <v>15</v>
      </c>
      <c r="H13" s="129">
        <v>103</v>
      </c>
      <c r="I13" s="129">
        <v>0</v>
      </c>
      <c r="J13" s="133">
        <f t="shared" si="0"/>
        <v>454</v>
      </c>
      <c r="K13" s="2"/>
    </row>
    <row r="14" spans="1:11" ht="16.5" thickBot="1">
      <c r="A14" s="326" t="s">
        <v>82</v>
      </c>
      <c r="B14" s="327"/>
      <c r="C14" s="129">
        <v>26</v>
      </c>
      <c r="D14" s="129">
        <v>12</v>
      </c>
      <c r="E14" s="129">
        <v>10</v>
      </c>
      <c r="F14" s="129">
        <v>0</v>
      </c>
      <c r="G14" s="129">
        <v>0</v>
      </c>
      <c r="H14" s="129">
        <v>4</v>
      </c>
      <c r="I14" s="129">
        <v>1</v>
      </c>
      <c r="J14" s="134">
        <f t="shared" si="0"/>
        <v>53</v>
      </c>
      <c r="K14" s="2"/>
    </row>
    <row r="15" spans="1:11" ht="16.5" thickBot="1">
      <c r="A15" s="326" t="s">
        <v>83</v>
      </c>
      <c r="B15" s="327"/>
      <c r="C15" s="129">
        <v>0</v>
      </c>
      <c r="D15" s="129">
        <v>0</v>
      </c>
      <c r="E15" s="129">
        <v>0</v>
      </c>
      <c r="F15" s="129">
        <v>0</v>
      </c>
      <c r="G15" s="129">
        <v>7</v>
      </c>
      <c r="H15" s="129">
        <v>0</v>
      </c>
      <c r="I15" s="131">
        <v>116</v>
      </c>
      <c r="J15" s="132">
        <f t="shared" si="0"/>
        <v>123</v>
      </c>
      <c r="K15" s="42"/>
    </row>
    <row r="16" spans="1:11" ht="16.5" thickBot="1">
      <c r="A16" s="326" t="s">
        <v>84</v>
      </c>
      <c r="B16" s="327"/>
      <c r="C16" s="129">
        <v>19</v>
      </c>
      <c r="D16" s="129">
        <v>0</v>
      </c>
      <c r="E16" s="131">
        <v>5</v>
      </c>
      <c r="F16" s="131">
        <v>134</v>
      </c>
      <c r="G16" s="129">
        <v>23</v>
      </c>
      <c r="H16" s="129">
        <v>0</v>
      </c>
      <c r="I16" s="131">
        <v>0</v>
      </c>
      <c r="J16" s="132">
        <f t="shared" si="0"/>
        <v>181</v>
      </c>
      <c r="K16" s="42"/>
    </row>
    <row r="17" spans="1:11" ht="16.5" thickBot="1">
      <c r="A17" s="326" t="s">
        <v>85</v>
      </c>
      <c r="B17" s="327"/>
      <c r="C17" s="129">
        <v>0</v>
      </c>
      <c r="D17" s="129">
        <v>0</v>
      </c>
      <c r="E17" s="129">
        <v>89</v>
      </c>
      <c r="F17" s="129">
        <v>28</v>
      </c>
      <c r="G17" s="129">
        <v>0</v>
      </c>
      <c r="H17" s="129">
        <v>48</v>
      </c>
      <c r="I17" s="129">
        <v>0</v>
      </c>
      <c r="J17" s="130">
        <f t="shared" si="0"/>
        <v>165</v>
      </c>
      <c r="K17" s="42"/>
    </row>
    <row r="18" spans="1:11" ht="16.5" thickBot="1">
      <c r="A18" s="326" t="s">
        <v>86</v>
      </c>
      <c r="B18" s="327"/>
      <c r="C18" s="129">
        <v>4</v>
      </c>
      <c r="D18" s="129">
        <v>0</v>
      </c>
      <c r="E18" s="129">
        <v>27</v>
      </c>
      <c r="F18" s="129">
        <v>28</v>
      </c>
      <c r="G18" s="129">
        <v>0</v>
      </c>
      <c r="H18" s="129">
        <v>183</v>
      </c>
      <c r="I18" s="129">
        <v>70</v>
      </c>
      <c r="J18" s="130">
        <f t="shared" si="0"/>
        <v>312</v>
      </c>
      <c r="K18" s="42"/>
    </row>
    <row r="19" spans="1:11" ht="16.5" thickBot="1">
      <c r="A19" s="326" t="s">
        <v>87</v>
      </c>
      <c r="B19" s="327"/>
      <c r="C19" s="129">
        <v>0</v>
      </c>
      <c r="D19" s="129">
        <v>0</v>
      </c>
      <c r="E19" s="129">
        <v>8</v>
      </c>
      <c r="F19" s="129">
        <v>17</v>
      </c>
      <c r="G19" s="129">
        <v>0</v>
      </c>
      <c r="H19" s="129">
        <v>135</v>
      </c>
      <c r="I19" s="129">
        <v>170</v>
      </c>
      <c r="J19" s="135">
        <f t="shared" si="0"/>
        <v>330</v>
      </c>
      <c r="K19" s="2"/>
    </row>
    <row r="20" spans="1:11" ht="16.5" thickBot="1">
      <c r="A20" s="328" t="s">
        <v>98</v>
      </c>
      <c r="B20" s="329"/>
      <c r="C20" s="136">
        <f t="shared" ref="C20:I20" si="1">SUM(C7:C19)</f>
        <v>251</v>
      </c>
      <c r="D20" s="136">
        <f t="shared" si="1"/>
        <v>266</v>
      </c>
      <c r="E20" s="136">
        <f t="shared" si="1"/>
        <v>273</v>
      </c>
      <c r="F20" s="136">
        <f t="shared" si="1"/>
        <v>483</v>
      </c>
      <c r="G20" s="136">
        <f t="shared" si="1"/>
        <v>169</v>
      </c>
      <c r="H20" s="136">
        <f t="shared" si="1"/>
        <v>680</v>
      </c>
      <c r="I20" s="136">
        <f t="shared" si="1"/>
        <v>402</v>
      </c>
      <c r="J20" s="137">
        <f t="shared" ref="J20:J25" si="2">SUM(C20:I20)</f>
        <v>2524</v>
      </c>
      <c r="K20" s="24"/>
    </row>
    <row r="21" spans="1:11" ht="16.5" thickBot="1">
      <c r="A21" s="328">
        <v>2021</v>
      </c>
      <c r="B21" s="329"/>
      <c r="C21" s="92">
        <f t="shared" ref="C21:I21" si="3">SUM(C8:C19)</f>
        <v>251</v>
      </c>
      <c r="D21" s="92">
        <f t="shared" si="3"/>
        <v>266</v>
      </c>
      <c r="E21" s="92">
        <f t="shared" si="3"/>
        <v>273</v>
      </c>
      <c r="F21" s="92">
        <f t="shared" si="3"/>
        <v>483</v>
      </c>
      <c r="G21" s="92">
        <f t="shared" si="3"/>
        <v>169</v>
      </c>
      <c r="H21" s="92">
        <f t="shared" si="3"/>
        <v>680</v>
      </c>
      <c r="I21" s="92">
        <f t="shared" si="3"/>
        <v>402</v>
      </c>
      <c r="J21" s="93">
        <f t="shared" si="2"/>
        <v>2524</v>
      </c>
      <c r="K21" s="2"/>
    </row>
    <row r="22" spans="1:11" ht="16.5" thickBot="1">
      <c r="A22" s="328">
        <v>2020</v>
      </c>
      <c r="B22" s="329"/>
      <c r="C22" s="69">
        <v>251</v>
      </c>
      <c r="D22" s="72">
        <v>266</v>
      </c>
      <c r="E22" s="75">
        <v>255</v>
      </c>
      <c r="F22" s="68">
        <v>483</v>
      </c>
      <c r="G22" s="78">
        <v>169</v>
      </c>
      <c r="H22" s="68">
        <v>680</v>
      </c>
      <c r="I22" s="74">
        <v>402</v>
      </c>
      <c r="J22" s="78">
        <f t="shared" si="2"/>
        <v>2506</v>
      </c>
      <c r="K22" s="42"/>
    </row>
    <row r="23" spans="1:11" ht="16.5" thickBot="1">
      <c r="A23" s="328">
        <v>2019</v>
      </c>
      <c r="B23" s="329"/>
      <c r="C23" s="71">
        <v>251</v>
      </c>
      <c r="D23" s="68">
        <v>266</v>
      </c>
      <c r="E23" s="68">
        <v>245</v>
      </c>
      <c r="F23" s="68">
        <v>483</v>
      </c>
      <c r="G23" s="68">
        <v>169</v>
      </c>
      <c r="H23" s="74">
        <v>680</v>
      </c>
      <c r="I23" s="73">
        <v>402</v>
      </c>
      <c r="J23" s="73">
        <f t="shared" si="2"/>
        <v>2496</v>
      </c>
      <c r="K23" s="24"/>
    </row>
    <row r="24" spans="1:11" ht="16.5" thickBot="1">
      <c r="A24" s="328">
        <v>2018</v>
      </c>
      <c r="B24" s="330"/>
      <c r="C24" s="70">
        <v>620</v>
      </c>
      <c r="D24" s="73">
        <v>223</v>
      </c>
      <c r="E24" s="74">
        <v>308</v>
      </c>
      <c r="F24" s="68">
        <v>181</v>
      </c>
      <c r="G24" s="79">
        <v>114</v>
      </c>
      <c r="H24" s="74">
        <v>220</v>
      </c>
      <c r="I24" s="78">
        <v>391</v>
      </c>
      <c r="J24" s="78">
        <f t="shared" si="2"/>
        <v>2057</v>
      </c>
      <c r="K24" s="42"/>
    </row>
    <row r="25" spans="1:11" ht="16.5" thickBot="1">
      <c r="A25" s="328">
        <v>2017</v>
      </c>
      <c r="B25" s="329"/>
      <c r="C25" s="69">
        <v>959</v>
      </c>
      <c r="D25" s="74">
        <v>226</v>
      </c>
      <c r="E25" s="76">
        <v>251</v>
      </c>
      <c r="F25" s="74">
        <v>134</v>
      </c>
      <c r="G25" s="68">
        <v>102</v>
      </c>
      <c r="H25" s="79">
        <v>128</v>
      </c>
      <c r="I25" s="74">
        <v>353</v>
      </c>
      <c r="J25" s="68">
        <f t="shared" si="2"/>
        <v>2153</v>
      </c>
      <c r="K25" s="24"/>
    </row>
    <row r="26" spans="1:11">
      <c r="A26" s="325" t="s">
        <v>31</v>
      </c>
      <c r="B26" s="325"/>
      <c r="C26" s="325"/>
      <c r="D26" s="325"/>
      <c r="E26" s="325"/>
      <c r="F26" s="2"/>
      <c r="G26" s="77"/>
      <c r="H26" s="77"/>
      <c r="I26" s="2"/>
      <c r="J26" s="2"/>
      <c r="K26" s="2"/>
    </row>
  </sheetData>
  <mergeCells count="26">
    <mergeCell ref="A1:J1"/>
    <mergeCell ref="A2:J2"/>
    <mergeCell ref="A3:J3"/>
    <mergeCell ref="A21:B21"/>
    <mergeCell ref="A24:B24"/>
    <mergeCell ref="A13:B13"/>
    <mergeCell ref="A4:B4"/>
    <mergeCell ref="A5:B7"/>
    <mergeCell ref="C5:I5"/>
    <mergeCell ref="J5:J6"/>
    <mergeCell ref="A8:B8"/>
    <mergeCell ref="A9:B9"/>
    <mergeCell ref="A10:B10"/>
    <mergeCell ref="A11:B11"/>
    <mergeCell ref="A12:B12"/>
    <mergeCell ref="A22:B22"/>
    <mergeCell ref="A26:E26"/>
    <mergeCell ref="A14:B14"/>
    <mergeCell ref="A15:B15"/>
    <mergeCell ref="A16:B16"/>
    <mergeCell ref="A17:B17"/>
    <mergeCell ref="A18:B18"/>
    <mergeCell ref="A19:B19"/>
    <mergeCell ref="A23:B23"/>
    <mergeCell ref="A25:B25"/>
    <mergeCell ref="A20:B20"/>
  </mergeCells>
  <pageMargins left="0.7" right="0.7" top="0.75" bottom="0.75" header="0.3" footer="0.3"/>
  <pageSetup paperSize="5" scale="9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D1"/>
    </sheetView>
  </sheetViews>
  <sheetFormatPr defaultRowHeight="15"/>
  <cols>
    <col min="1" max="1" width="20" style="185" customWidth="1"/>
    <col min="2" max="3" width="19.42578125" style="185" customWidth="1"/>
    <col min="4" max="5" width="20.7109375" style="185" customWidth="1"/>
    <col min="6" max="16384" width="9.140625" style="185"/>
  </cols>
  <sheetData>
    <row r="1" spans="1:5">
      <c r="A1" s="352" t="s">
        <v>144</v>
      </c>
      <c r="B1" s="352"/>
      <c r="C1" s="352"/>
      <c r="D1" s="352"/>
      <c r="E1" s="194"/>
    </row>
    <row r="2" spans="1:5">
      <c r="A2" s="352" t="s">
        <v>97</v>
      </c>
      <c r="B2" s="352"/>
      <c r="C2" s="352"/>
      <c r="D2" s="352"/>
      <c r="E2" s="194"/>
    </row>
    <row r="3" spans="1:5">
      <c r="A3" s="186"/>
      <c r="B3" s="186"/>
      <c r="C3" s="186"/>
      <c r="D3" s="186"/>
      <c r="E3" s="186"/>
    </row>
    <row r="4" spans="1:5" ht="15" customHeight="1">
      <c r="A4" s="353" t="s">
        <v>59</v>
      </c>
      <c r="B4" s="345" t="s">
        <v>145</v>
      </c>
      <c r="C4" s="346"/>
      <c r="D4" s="345" t="s">
        <v>34</v>
      </c>
      <c r="E4" s="346"/>
    </row>
    <row r="5" spans="1:5">
      <c r="A5" s="354"/>
      <c r="B5" s="347"/>
      <c r="C5" s="348"/>
      <c r="D5" s="347"/>
      <c r="E5" s="348"/>
    </row>
    <row r="6" spans="1:5">
      <c r="A6" s="192"/>
      <c r="B6" s="193" t="s">
        <v>146</v>
      </c>
      <c r="C6" s="193" t="s">
        <v>147</v>
      </c>
      <c r="D6" s="195" t="s">
        <v>146</v>
      </c>
      <c r="E6" s="195" t="s">
        <v>147</v>
      </c>
    </row>
    <row r="7" spans="1:5">
      <c r="A7" s="187" t="s">
        <v>2</v>
      </c>
      <c r="B7" s="191"/>
      <c r="C7" s="191"/>
      <c r="D7" s="188"/>
      <c r="E7" s="188"/>
    </row>
    <row r="8" spans="1:5">
      <c r="A8" s="187" t="s">
        <v>3</v>
      </c>
      <c r="B8" s="191"/>
      <c r="C8" s="191"/>
      <c r="D8" s="188"/>
      <c r="E8" s="188"/>
    </row>
    <row r="9" spans="1:5">
      <c r="A9" s="187" t="s">
        <v>4</v>
      </c>
      <c r="B9" s="188"/>
      <c r="C9" s="188"/>
      <c r="D9" s="188"/>
      <c r="E9" s="188"/>
    </row>
    <row r="10" spans="1:5">
      <c r="A10" s="187" t="s">
        <v>5</v>
      </c>
      <c r="B10" s="188"/>
      <c r="C10" s="188"/>
      <c r="D10" s="188"/>
      <c r="E10" s="188"/>
    </row>
    <row r="11" spans="1:5">
      <c r="A11" s="187" t="s">
        <v>6</v>
      </c>
      <c r="B11" s="188"/>
      <c r="C11" s="188"/>
      <c r="D11" s="188"/>
      <c r="E11" s="188"/>
    </row>
    <row r="12" spans="1:5">
      <c r="A12" s="187" t="s">
        <v>7</v>
      </c>
      <c r="B12" s="188"/>
      <c r="C12" s="188"/>
      <c r="D12" s="188"/>
      <c r="E12" s="188"/>
    </row>
    <row r="13" spans="1:5">
      <c r="A13" s="187" t="s">
        <v>8</v>
      </c>
      <c r="B13" s="189"/>
      <c r="C13" s="189"/>
      <c r="D13" s="189"/>
      <c r="E13" s="189"/>
    </row>
    <row r="14" spans="1:5">
      <c r="A14" s="187" t="s">
        <v>9</v>
      </c>
      <c r="B14" s="191">
        <v>8.4</v>
      </c>
      <c r="C14" s="191"/>
      <c r="D14" s="188">
        <f>1500*B14</f>
        <v>12600</v>
      </c>
      <c r="E14" s="188"/>
    </row>
    <row r="15" spans="1:5">
      <c r="A15" s="187" t="s">
        <v>10</v>
      </c>
      <c r="B15" s="191">
        <v>8.4</v>
      </c>
      <c r="C15" s="191">
        <v>191.37</v>
      </c>
      <c r="D15" s="188">
        <f>1500*B15</f>
        <v>12600</v>
      </c>
      <c r="E15" s="188">
        <f>1200*C15</f>
        <v>229644</v>
      </c>
    </row>
    <row r="16" spans="1:5">
      <c r="A16" s="187" t="s">
        <v>11</v>
      </c>
      <c r="B16" s="188"/>
      <c r="C16" s="188"/>
      <c r="D16" s="188"/>
      <c r="E16" s="188"/>
    </row>
    <row r="17" spans="1:5">
      <c r="A17" s="187" t="s">
        <v>12</v>
      </c>
      <c r="B17" s="188"/>
      <c r="C17" s="188"/>
      <c r="D17" s="188"/>
      <c r="E17" s="188"/>
    </row>
    <row r="18" spans="1:5">
      <c r="A18" s="187" t="s">
        <v>13</v>
      </c>
      <c r="B18" s="188"/>
      <c r="C18" s="188"/>
      <c r="D18" s="188"/>
      <c r="E18" s="188"/>
    </row>
    <row r="19" spans="1:5">
      <c r="A19" s="190" t="s">
        <v>98</v>
      </c>
      <c r="B19" s="204">
        <f>B14+B15</f>
        <v>16.8</v>
      </c>
      <c r="C19" s="204">
        <f>C15</f>
        <v>191.37</v>
      </c>
      <c r="D19" s="205">
        <f>D14+D15</f>
        <v>25200</v>
      </c>
      <c r="E19" s="205">
        <f>E15</f>
        <v>229644</v>
      </c>
    </row>
    <row r="20" spans="1:5">
      <c r="A20" s="187">
        <v>2021</v>
      </c>
      <c r="B20" s="187"/>
      <c r="C20" s="187"/>
      <c r="D20" s="187"/>
      <c r="E20" s="187"/>
    </row>
    <row r="21" spans="1:5">
      <c r="A21" s="187">
        <v>2020</v>
      </c>
      <c r="B21" s="187"/>
      <c r="C21" s="187"/>
      <c r="D21" s="187"/>
      <c r="E21" s="187"/>
    </row>
    <row r="22" spans="1:5">
      <c r="A22" s="187">
        <v>2019</v>
      </c>
      <c r="B22" s="187"/>
      <c r="C22" s="187"/>
      <c r="D22" s="187"/>
      <c r="E22" s="187"/>
    </row>
    <row r="23" spans="1:5">
      <c r="A23" s="187">
        <v>2018</v>
      </c>
      <c r="B23" s="187"/>
      <c r="C23" s="187"/>
      <c r="D23" s="187"/>
      <c r="E23" s="187"/>
    </row>
    <row r="26" spans="1:5" ht="15.75" thickBot="1"/>
    <row r="27" spans="1:5" ht="12" customHeight="1">
      <c r="A27" s="349"/>
      <c r="B27" s="345" t="s">
        <v>145</v>
      </c>
      <c r="C27" s="346"/>
      <c r="D27" s="345" t="s">
        <v>34</v>
      </c>
      <c r="E27" s="346"/>
    </row>
    <row r="28" spans="1:5" ht="8.25" customHeight="1">
      <c r="A28" s="350"/>
      <c r="B28" s="347"/>
      <c r="C28" s="348"/>
      <c r="D28" s="347"/>
      <c r="E28" s="348"/>
    </row>
    <row r="29" spans="1:5" ht="15.75" thickBot="1">
      <c r="A29" s="351"/>
      <c r="B29" s="201" t="s">
        <v>146</v>
      </c>
      <c r="C29" s="201" t="s">
        <v>147</v>
      </c>
      <c r="D29" s="196" t="s">
        <v>146</v>
      </c>
      <c r="E29" s="196" t="s">
        <v>147</v>
      </c>
    </row>
    <row r="30" spans="1:5" ht="15.75" thickBot="1">
      <c r="A30" s="125" t="s">
        <v>121</v>
      </c>
      <c r="B30" s="124">
        <f>SUM(B7:B9)</f>
        <v>0</v>
      </c>
      <c r="C30" s="124">
        <f>SUM(C7:C9)</f>
        <v>0</v>
      </c>
      <c r="D30" s="124">
        <f>SUM(D7:D9)</f>
        <v>0</v>
      </c>
      <c r="E30" s="124">
        <f>SUM(E7:E9)</f>
        <v>0</v>
      </c>
    </row>
    <row r="31" spans="1:5" ht="15.75" thickBot="1">
      <c r="A31" s="125" t="s">
        <v>118</v>
      </c>
      <c r="B31" s="124">
        <f>SUM(B10:B12)</f>
        <v>0</v>
      </c>
      <c r="C31" s="124">
        <f>SUM(C10:C12)</f>
        <v>0</v>
      </c>
      <c r="D31" s="124">
        <f>SUM(D10:D12)</f>
        <v>0</v>
      </c>
      <c r="E31" s="124">
        <f>SUM(E10:E12)</f>
        <v>0</v>
      </c>
    </row>
    <row r="32" spans="1:5" ht="15.75" thickBot="1">
      <c r="A32" s="125" t="s">
        <v>119</v>
      </c>
      <c r="B32" s="203">
        <f>SUM(B13:B15)</f>
        <v>16.8</v>
      </c>
      <c r="C32" s="203">
        <f>SUM(C13:C15)</f>
        <v>191.37</v>
      </c>
      <c r="D32" s="126">
        <f>SUM(D13:D15)</f>
        <v>25200</v>
      </c>
      <c r="E32" s="126">
        <f>SUM(E13:E15)</f>
        <v>229644</v>
      </c>
    </row>
    <row r="33" spans="1:5" ht="15.75" thickBot="1">
      <c r="A33" s="125" t="s">
        <v>120</v>
      </c>
      <c r="B33" s="202"/>
      <c r="C33" s="202"/>
      <c r="D33" s="202"/>
      <c r="E33" s="202"/>
    </row>
    <row r="34" spans="1:5" ht="15.75" thickBot="1">
      <c r="A34" s="125" t="s">
        <v>69</v>
      </c>
      <c r="B34" s="202"/>
      <c r="C34" s="202"/>
      <c r="D34" s="202"/>
      <c r="E34" s="202"/>
    </row>
    <row r="37" spans="1:5">
      <c r="B37" s="206">
        <f>SUM(B32:C32)</f>
        <v>208.17000000000002</v>
      </c>
      <c r="D37" s="207">
        <f>SUM(D32:E32)</f>
        <v>254844</v>
      </c>
    </row>
  </sheetData>
  <mergeCells count="8">
    <mergeCell ref="B27:C28"/>
    <mergeCell ref="D27:E28"/>
    <mergeCell ref="A27:A29"/>
    <mergeCell ref="A1:D1"/>
    <mergeCell ref="A2:D2"/>
    <mergeCell ref="A4:A5"/>
    <mergeCell ref="B4:C5"/>
    <mergeCell ref="D4:E5"/>
  </mergeCells>
  <pageMargins left="0.70866141732283472" right="0.70866141732283472" top="0.74803149606299213" bottom="0.74803149606299213" header="0.31496062992125984" footer="0.31496062992125984"/>
  <pageSetup paperSize="5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5"/>
  <sheetViews>
    <sheetView showWhiteSpace="0" topLeftCell="A15" zoomScale="70" zoomScaleNormal="70" zoomScalePageLayoutView="77" workbookViewId="0">
      <selection activeCell="I47" sqref="I47"/>
    </sheetView>
  </sheetViews>
  <sheetFormatPr defaultColWidth="9" defaultRowHeight="15"/>
  <cols>
    <col min="1" max="1" width="30" bestFit="1" customWidth="1"/>
    <col min="2" max="3" width="25.42578125" customWidth="1"/>
    <col min="5" max="5" width="35.42578125" customWidth="1"/>
    <col min="6" max="6" width="20.140625" customWidth="1"/>
    <col min="7" max="7" width="19.5703125" customWidth="1"/>
    <col min="9" max="9" width="24.5703125" bestFit="1" customWidth="1"/>
    <col min="10" max="10" width="19" customWidth="1"/>
    <col min="11" max="11" width="23.42578125" customWidth="1"/>
  </cols>
  <sheetData>
    <row r="1" spans="1:11">
      <c r="A1" s="298" t="s">
        <v>0</v>
      </c>
      <c r="B1" s="298"/>
      <c r="C1" s="298"/>
      <c r="D1" s="13"/>
      <c r="E1" s="298" t="s">
        <v>0</v>
      </c>
      <c r="F1" s="298"/>
      <c r="G1" s="298"/>
      <c r="I1" s="298" t="s">
        <v>0</v>
      </c>
      <c r="J1" s="298"/>
      <c r="K1" s="298"/>
    </row>
    <row r="2" spans="1:11">
      <c r="A2" s="298" t="s">
        <v>17</v>
      </c>
      <c r="B2" s="298"/>
      <c r="C2" s="298"/>
      <c r="D2" s="13"/>
      <c r="E2" s="298" t="s">
        <v>17</v>
      </c>
      <c r="F2" s="298"/>
      <c r="G2" s="298"/>
      <c r="I2" s="298" t="s">
        <v>17</v>
      </c>
      <c r="J2" s="298"/>
      <c r="K2" s="298"/>
    </row>
    <row r="3" spans="1:11">
      <c r="A3" s="298" t="s">
        <v>99</v>
      </c>
      <c r="B3" s="298"/>
      <c r="C3" s="298"/>
      <c r="D3" s="13"/>
      <c r="E3" s="298" t="s">
        <v>114</v>
      </c>
      <c r="F3" s="298"/>
      <c r="G3" s="298"/>
      <c r="I3" s="298" t="s">
        <v>115</v>
      </c>
      <c r="J3" s="298"/>
      <c r="K3" s="298"/>
    </row>
    <row r="4" spans="1:11">
      <c r="A4" s="108"/>
      <c r="B4" s="108"/>
      <c r="C4" s="108"/>
      <c r="D4" s="13"/>
      <c r="E4" s="13"/>
    </row>
    <row r="5" spans="1:11" ht="15.75" thickBot="1">
      <c r="A5" s="2"/>
      <c r="B5" s="2"/>
      <c r="C5" s="2"/>
      <c r="D5" s="13"/>
      <c r="E5" s="110"/>
      <c r="I5" s="110"/>
    </row>
    <row r="6" spans="1:11" ht="63" customHeight="1">
      <c r="A6" s="302" t="s">
        <v>36</v>
      </c>
      <c r="B6" s="294" t="s">
        <v>29</v>
      </c>
      <c r="C6" s="294" t="s">
        <v>30</v>
      </c>
      <c r="D6" s="13"/>
      <c r="E6" s="302" t="s">
        <v>104</v>
      </c>
      <c r="F6" s="294" t="s">
        <v>29</v>
      </c>
      <c r="G6" s="294" t="s">
        <v>30</v>
      </c>
      <c r="I6" s="302" t="s">
        <v>105</v>
      </c>
      <c r="J6" s="294" t="s">
        <v>29</v>
      </c>
      <c r="K6" s="294" t="s">
        <v>30</v>
      </c>
    </row>
    <row r="7" spans="1:11" ht="15.75" thickBot="1">
      <c r="A7" s="303"/>
      <c r="B7" s="295"/>
      <c r="C7" s="296"/>
      <c r="D7" s="13"/>
      <c r="E7" s="303"/>
      <c r="F7" s="295"/>
      <c r="G7" s="296"/>
      <c r="I7" s="303"/>
      <c r="J7" s="295"/>
      <c r="K7" s="296"/>
    </row>
    <row r="8" spans="1:11" ht="16.5" thickBot="1">
      <c r="A8" s="11" t="s">
        <v>14</v>
      </c>
      <c r="B8" s="12" t="s">
        <v>15</v>
      </c>
      <c r="C8" s="12" t="s">
        <v>16</v>
      </c>
      <c r="D8" s="13"/>
      <c r="E8" s="11" t="s">
        <v>14</v>
      </c>
      <c r="F8" s="12" t="s">
        <v>15</v>
      </c>
      <c r="G8" s="12" t="s">
        <v>16</v>
      </c>
      <c r="I8" s="11" t="s">
        <v>14</v>
      </c>
      <c r="J8" s="12" t="s">
        <v>15</v>
      </c>
      <c r="K8" s="12" t="s">
        <v>16</v>
      </c>
    </row>
    <row r="9" spans="1:11" ht="16.5" thickBot="1">
      <c r="A9" s="6" t="s">
        <v>38</v>
      </c>
      <c r="B9" s="37">
        <v>0</v>
      </c>
      <c r="C9" s="37">
        <v>0</v>
      </c>
      <c r="D9" s="13"/>
      <c r="E9" s="179" t="s">
        <v>18</v>
      </c>
      <c r="F9" s="31">
        <f>SUM(5804+4570+5043+4704+4700+2475+1567+2276)</f>
        <v>31139</v>
      </c>
      <c r="G9" s="31">
        <f>SUM(115838000+95160000+95084000+86884000+92600000+51650000+31506000+47848000)/1000</f>
        <v>616570</v>
      </c>
      <c r="H9" s="180"/>
      <c r="I9" s="179" t="s">
        <v>18</v>
      </c>
      <c r="J9" s="31">
        <f>SUM(4958+4049+14678+3004+3214+4750+4435+1555)</f>
        <v>40643</v>
      </c>
      <c r="K9" s="31">
        <f>SUM(50000000+25854500+114000000+40000000+60700000+50000000+42520000+42900000)/1000</f>
        <v>425974.5</v>
      </c>
    </row>
    <row r="10" spans="1:11" ht="16.5" thickBot="1">
      <c r="A10" s="6" t="s">
        <v>39</v>
      </c>
      <c r="B10" s="37">
        <v>0</v>
      </c>
      <c r="C10" s="37">
        <v>0</v>
      </c>
      <c r="D10" s="13"/>
      <c r="E10" s="179" t="s">
        <v>19</v>
      </c>
      <c r="F10" s="31">
        <f>SUM(59681+57372+59492+36073+30481+25398+34727+26524)</f>
        <v>329748</v>
      </c>
      <c r="G10" s="31">
        <f>SUM(730004250+679837000+678011250+436851000+377813500+297495000+457967500+307409500)/1000</f>
        <v>3965389</v>
      </c>
      <c r="H10" s="180"/>
      <c r="I10" s="179" t="s">
        <v>19</v>
      </c>
      <c r="J10" s="31">
        <f>SUM(52731+153720+183771+141235+142169+224532+161678+121949)</f>
        <v>1181785</v>
      </c>
      <c r="K10" s="31">
        <f>SUM(544700000+1149900000+1784600000+992800000+1156850000+1664800000+1194713000+528000000)/1000</f>
        <v>9016363</v>
      </c>
    </row>
    <row r="11" spans="1:11" ht="16.5" thickBot="1">
      <c r="A11" s="6" t="s">
        <v>40</v>
      </c>
      <c r="B11" s="37">
        <v>0</v>
      </c>
      <c r="C11" s="37">
        <v>0</v>
      </c>
      <c r="D11" s="13"/>
      <c r="E11" s="179" t="s">
        <v>20</v>
      </c>
      <c r="F11" s="31">
        <f>SUM(69346+63899+35902+25215+21286+19290+44662+50641)</f>
        <v>330241</v>
      </c>
      <c r="G11" s="31">
        <f>SUM(503956000+505441000+499776000+494711600+487189800+485146000+525958200+535691000)/1000</f>
        <v>4037869.6</v>
      </c>
      <c r="H11" s="180"/>
      <c r="I11" s="179" t="s">
        <v>20</v>
      </c>
      <c r="J11" s="31">
        <f>SUM(64150+14390+25463+24734+34850+40694+39748+55462)</f>
        <v>299491</v>
      </c>
      <c r="K11" s="31">
        <f>SUM(607907000+108950000+186350000+215200000+315200000+364330000+365135400+494730000)/1000</f>
        <v>2657802.4</v>
      </c>
    </row>
    <row r="12" spans="1:11" ht="16.5" thickBot="1">
      <c r="A12" s="6" t="s">
        <v>41</v>
      </c>
      <c r="B12" s="37">
        <v>0</v>
      </c>
      <c r="C12" s="37">
        <v>0</v>
      </c>
      <c r="D12" s="13"/>
      <c r="E12" s="179" t="s">
        <v>21</v>
      </c>
      <c r="F12" s="31">
        <f>SUM(23437+15240+15365+14011+13000+13250+15446+17060)</f>
        <v>126809</v>
      </c>
      <c r="G12" s="31">
        <f>SUM(641994000+389280000+380870000+348878000+320400000+322900000+375100000+380600000)/1000</f>
        <v>3160022</v>
      </c>
      <c r="H12" s="180"/>
      <c r="I12" s="179" t="s">
        <v>21</v>
      </c>
      <c r="J12" s="31">
        <f>SUM(0+0+0+0+2885+0+0+0)</f>
        <v>2885</v>
      </c>
      <c r="K12" s="31">
        <f>SUM(0+0+0+0+90469000+0+0+0)/1000</f>
        <v>90469</v>
      </c>
    </row>
    <row r="13" spans="1:11" ht="16.5" thickBot="1">
      <c r="A13" s="6" t="s">
        <v>42</v>
      </c>
      <c r="B13" s="37">
        <v>0</v>
      </c>
      <c r="C13" s="37">
        <v>0</v>
      </c>
      <c r="D13" s="13"/>
      <c r="E13" s="179" t="s">
        <v>22</v>
      </c>
      <c r="F13" s="31">
        <f>SUM(22657+15113+16640+14296+14050+15950+17200+16650)</f>
        <v>132556</v>
      </c>
      <c r="G13" s="31">
        <f>SUM(540170000+337554000+408460000+356992000+330900000+361100000+390400000+415700000)/1000</f>
        <v>3141276</v>
      </c>
      <c r="H13" s="180"/>
      <c r="I13" s="179" t="s">
        <v>22</v>
      </c>
      <c r="J13" s="31">
        <f>SUM(30611+0+45558+35764+27618+28096+35668+27650)</f>
        <v>230965</v>
      </c>
      <c r="K13" s="31">
        <f>SUM(1044688000+0+1413231000+481958000+754417500+299752500+392348000+304150000)/1000</f>
        <v>4690545</v>
      </c>
    </row>
    <row r="14" spans="1:11" ht="16.5" thickBot="1">
      <c r="A14" s="6" t="s">
        <v>43</v>
      </c>
      <c r="B14" s="37">
        <v>0</v>
      </c>
      <c r="C14" s="37">
        <v>0</v>
      </c>
      <c r="D14" s="13"/>
      <c r="E14" s="179" t="s">
        <v>23</v>
      </c>
      <c r="F14" s="31">
        <v>0</v>
      </c>
      <c r="G14" s="31">
        <v>0</v>
      </c>
      <c r="H14" s="180"/>
      <c r="I14" s="179" t="s">
        <v>23</v>
      </c>
      <c r="J14" s="31">
        <v>0</v>
      </c>
      <c r="K14" s="31">
        <v>0</v>
      </c>
    </row>
    <row r="15" spans="1:11" ht="16.5" thickBot="1">
      <c r="A15" s="6" t="s">
        <v>44</v>
      </c>
      <c r="B15" s="37">
        <v>0</v>
      </c>
      <c r="C15" s="37">
        <v>0</v>
      </c>
      <c r="D15" s="13"/>
      <c r="E15" s="179" t="s">
        <v>24</v>
      </c>
      <c r="F15" s="31">
        <f>SUM(9305+8200+7419+6899+6700+3700+4900+4650)</f>
        <v>51773</v>
      </c>
      <c r="G15" s="31">
        <f>SUM(418725000+369000000+333855000+310455000+301500000+166500000+220500000+209250000)/1000</f>
        <v>2329785</v>
      </c>
      <c r="H15" s="180"/>
      <c r="I15" s="179" t="s">
        <v>24</v>
      </c>
      <c r="J15" s="31">
        <f>SUM(4395+4048+5422+6724+4848+8875+5630+10600)</f>
        <v>50542</v>
      </c>
      <c r="K15" s="31">
        <f>SUM(26727272+25854000+47272000+41000000+42800000+55000000+37700000+40000000)/1000</f>
        <v>316353.272</v>
      </c>
    </row>
    <row r="16" spans="1:11" ht="16.5" thickBot="1">
      <c r="A16" s="6" t="s">
        <v>45</v>
      </c>
      <c r="B16" s="37">
        <v>0</v>
      </c>
      <c r="C16" s="37">
        <v>0</v>
      </c>
      <c r="D16" s="13"/>
      <c r="E16" s="179" t="s">
        <v>25</v>
      </c>
      <c r="F16" s="31">
        <f>SUM(25+30+35+45+60+55+120+155)</f>
        <v>525</v>
      </c>
      <c r="G16" s="31">
        <f>SUM(300000+360000+420000+540000+720000+660000+1440000+1860000)/1000</f>
        <v>6300</v>
      </c>
      <c r="H16" s="180"/>
      <c r="I16" s="179" t="s">
        <v>25</v>
      </c>
      <c r="J16" s="31">
        <v>0</v>
      </c>
      <c r="K16" s="31">
        <v>0</v>
      </c>
    </row>
    <row r="17" spans="1:11" ht="16.5" thickBot="1">
      <c r="A17" s="6" t="s">
        <v>46</v>
      </c>
      <c r="B17" s="37">
        <v>0</v>
      </c>
      <c r="C17" s="37">
        <v>0</v>
      </c>
      <c r="D17" s="13"/>
      <c r="E17" s="179" t="s">
        <v>26</v>
      </c>
      <c r="F17" s="31">
        <f>SUM(1064+1023+1465+1430+1670+1440+1580+1660)</f>
        <v>11332</v>
      </c>
      <c r="G17" s="31">
        <f>SUM(78750000+66130000+61500000+98000000+91800000+45000000+58800000+60600000)/1000</f>
        <v>560580</v>
      </c>
      <c r="H17" s="180"/>
      <c r="I17" s="179" t="s">
        <v>26</v>
      </c>
      <c r="J17" s="31">
        <v>0</v>
      </c>
      <c r="K17" s="31">
        <v>0</v>
      </c>
    </row>
    <row r="18" spans="1:11" ht="16.5" thickBot="1">
      <c r="A18" s="6" t="s">
        <v>47</v>
      </c>
      <c r="B18" s="119">
        <f>SUM(F16+F17)</f>
        <v>11857</v>
      </c>
      <c r="C18" s="119">
        <f>SUM(G16+G17)</f>
        <v>566880</v>
      </c>
      <c r="D18" s="13"/>
      <c r="E18" s="179" t="s">
        <v>27</v>
      </c>
      <c r="F18" s="31">
        <v>0</v>
      </c>
      <c r="G18" s="31">
        <v>0</v>
      </c>
      <c r="H18" s="180"/>
      <c r="I18" s="179" t="s">
        <v>27</v>
      </c>
      <c r="J18" s="31">
        <v>0</v>
      </c>
      <c r="K18" s="31">
        <v>0</v>
      </c>
    </row>
    <row r="19" spans="1:11" ht="16.5" thickBot="1">
      <c r="A19" s="6" t="s">
        <v>48</v>
      </c>
      <c r="B19" s="119">
        <f>SUM(F12+J12+F13+J13)</f>
        <v>493215</v>
      </c>
      <c r="C19" s="119">
        <f>SUM(G12+K12+G13+K13)</f>
        <v>11082312</v>
      </c>
      <c r="D19" s="13"/>
      <c r="E19" s="181" t="s">
        <v>109</v>
      </c>
      <c r="F19" s="182">
        <f>SUM(1501+1537+1547+1400+1328+1405+1622+1595)</f>
        <v>11935</v>
      </c>
      <c r="G19" s="182">
        <f>SUM(51705000+54360000+56160000+51300000+48210000+51525000+59670000+59475000)/1000</f>
        <v>432405</v>
      </c>
      <c r="H19" s="180"/>
      <c r="I19" s="183" t="s">
        <v>98</v>
      </c>
      <c r="J19" s="98">
        <f>SUM(J9:J18)</f>
        <v>1806311</v>
      </c>
      <c r="K19" s="98">
        <f>SUM(K9:K18)</f>
        <v>17197507.171999998</v>
      </c>
    </row>
    <row r="20" spans="1:11" ht="16.5" thickBot="1">
      <c r="A20" s="6" t="s">
        <v>49</v>
      </c>
      <c r="B20" s="119">
        <v>0</v>
      </c>
      <c r="C20" s="119">
        <v>0</v>
      </c>
      <c r="D20" s="13"/>
      <c r="E20" s="181" t="s">
        <v>110</v>
      </c>
      <c r="F20" s="182">
        <f>SUM(1665+1648+1830+1825+1680+1520+1490+2000)</f>
        <v>13658</v>
      </c>
      <c r="G20" s="182">
        <f>SUM(13645000+14645000+17285000+17585000+15245000+15245000+17445000+18645000)/1000</f>
        <v>129740</v>
      </c>
      <c r="H20" s="180"/>
      <c r="I20" s="180"/>
      <c r="J20" s="180"/>
      <c r="K20" s="180"/>
    </row>
    <row r="21" spans="1:11" ht="16.5" thickBot="1">
      <c r="A21" s="6" t="s">
        <v>50</v>
      </c>
      <c r="B21" s="119">
        <f>SUM(F10+J10+F11+J11+F21)</f>
        <v>2145026</v>
      </c>
      <c r="C21" s="119">
        <f>SUM(G10+K10+G11+K11+G21)</f>
        <v>19754877</v>
      </c>
      <c r="D21" s="13"/>
      <c r="E21" s="184" t="s">
        <v>111</v>
      </c>
      <c r="F21" s="182">
        <f>SUM(424+460+560+550+490+340+407+530)</f>
        <v>3761</v>
      </c>
      <c r="G21" s="182">
        <f>SUM(9387000+9960000+11940000+10650000+10200000+7340000+7756000+10220000)/1000</f>
        <v>77453</v>
      </c>
      <c r="H21" s="180"/>
      <c r="I21" s="180"/>
      <c r="J21" s="180"/>
      <c r="K21" s="180"/>
    </row>
    <row r="22" spans="1:11" ht="16.5" thickBot="1">
      <c r="A22" s="6" t="s">
        <v>51</v>
      </c>
      <c r="B22" s="119">
        <f>SUM(F9+J9+F19+F23)</f>
        <v>86467</v>
      </c>
      <c r="C22" s="119">
        <f>SUM(G9+K9+G19+G23)</f>
        <v>1500930.5</v>
      </c>
      <c r="D22" s="13"/>
      <c r="E22" s="184" t="s">
        <v>112</v>
      </c>
      <c r="F22" s="182">
        <f>SUM(55+55+95+150+170+140+263+335)</f>
        <v>1263</v>
      </c>
      <c r="G22" s="182">
        <f>SUM(1250000+1525000+2175000+3250000+4500000+3675000+5710000+8950000)/1000</f>
        <v>31035</v>
      </c>
      <c r="H22" s="180"/>
      <c r="I22" s="180"/>
      <c r="J22" s="180"/>
      <c r="K22" s="180"/>
    </row>
    <row r="23" spans="1:11" ht="16.5" thickBot="1">
      <c r="A23" s="6" t="s">
        <v>52</v>
      </c>
      <c r="B23" s="119">
        <v>0</v>
      </c>
      <c r="C23" s="119">
        <v>0</v>
      </c>
      <c r="D23" s="13"/>
      <c r="E23" s="184" t="s">
        <v>113</v>
      </c>
      <c r="F23" s="182">
        <f>SUM(300+320+370+380+449+305+331+295)</f>
        <v>2750</v>
      </c>
      <c r="G23" s="182">
        <f>SUM(2820000+3055000+3540000+3606000+4305000+2775000+3220000+2660000)/1000</f>
        <v>25981</v>
      </c>
      <c r="H23" s="180"/>
      <c r="I23" s="180"/>
      <c r="J23" s="180"/>
      <c r="K23" s="180"/>
    </row>
    <row r="24" spans="1:11" ht="16.5" thickBot="1">
      <c r="A24" s="6" t="s">
        <v>53</v>
      </c>
      <c r="B24" s="119">
        <v>0</v>
      </c>
      <c r="C24" s="119">
        <v>0</v>
      </c>
      <c r="D24" s="13"/>
      <c r="E24" s="7" t="s">
        <v>98</v>
      </c>
      <c r="F24" s="36">
        <f>SUM(F9:F23)</f>
        <v>1047490</v>
      </c>
      <c r="G24" s="98">
        <f>SUM(G9:G23)</f>
        <v>18514405.600000001</v>
      </c>
    </row>
    <row r="25" spans="1:11" ht="16.5" thickBot="1">
      <c r="A25" s="6" t="s">
        <v>54</v>
      </c>
      <c r="B25" s="119">
        <f>SUM(F15+J15+F20+F22)</f>
        <v>117236</v>
      </c>
      <c r="C25" s="119">
        <f>SUM(G15+K15+G20+G22)</f>
        <v>2806913.2719999999</v>
      </c>
      <c r="D25" s="13"/>
    </row>
    <row r="26" spans="1:11" ht="16.5" thickBot="1">
      <c r="A26" s="7" t="s">
        <v>98</v>
      </c>
      <c r="B26" s="98">
        <f>SUM(B16+B17+B18+B19+B20+B21+B22+B23+B24+B25+F26+F27+F28+F29+F30)</f>
        <v>2853801</v>
      </c>
      <c r="C26" s="98">
        <f>SUM(C16+C17+C18+C19+C20+C21+C22+C23+C24+C25+G26+G27+G28+G29+G30)</f>
        <v>35711912.772</v>
      </c>
      <c r="D26" s="13"/>
    </row>
    <row r="27" spans="1:11" ht="16.5" customHeight="1" thickBot="1">
      <c r="A27" s="7">
        <v>2021</v>
      </c>
      <c r="B27" s="26">
        <v>3675474</v>
      </c>
      <c r="C27" s="26">
        <v>47817447</v>
      </c>
      <c r="D27" s="13"/>
    </row>
    <row r="28" spans="1:11" ht="16.5" thickBot="1">
      <c r="A28" s="7">
        <v>2020</v>
      </c>
      <c r="B28" s="26">
        <v>3827110</v>
      </c>
      <c r="C28" s="26">
        <v>35263708</v>
      </c>
      <c r="D28" s="13"/>
    </row>
    <row r="29" spans="1:11" ht="16.5" thickBot="1">
      <c r="A29" s="7">
        <v>2019</v>
      </c>
      <c r="B29" s="26">
        <v>3897601</v>
      </c>
      <c r="C29" s="26">
        <v>35649385</v>
      </c>
      <c r="D29" s="35"/>
      <c r="E29" s="110"/>
    </row>
    <row r="30" spans="1:11" ht="16.5" thickBot="1">
      <c r="A30" s="7">
        <v>2018</v>
      </c>
      <c r="B30" s="26">
        <v>3027414</v>
      </c>
      <c r="C30" s="26">
        <v>31786526</v>
      </c>
      <c r="E30" s="110"/>
    </row>
    <row r="31" spans="1:11">
      <c r="E31" s="13"/>
    </row>
    <row r="39" spans="5:7" ht="15.75">
      <c r="E39" s="27"/>
      <c r="F39" s="112"/>
      <c r="G39" s="112"/>
    </row>
    <row r="40" spans="5:7" ht="15.75">
      <c r="E40" s="27"/>
      <c r="F40" s="112"/>
      <c r="G40" s="112"/>
    </row>
    <row r="41" spans="5:7" ht="15.75">
      <c r="E41" s="27"/>
      <c r="F41" s="112"/>
      <c r="G41" s="112"/>
    </row>
    <row r="42" spans="5:7" ht="15.75">
      <c r="E42" s="27"/>
      <c r="F42" s="112"/>
      <c r="G42" s="112"/>
    </row>
    <row r="43" spans="5:7" ht="15.75">
      <c r="E43" s="27"/>
      <c r="F43" s="112"/>
      <c r="G43" s="112"/>
    </row>
    <row r="44" spans="5:7" ht="15.75">
      <c r="E44" s="27"/>
      <c r="F44" s="112"/>
      <c r="G44" s="112"/>
    </row>
    <row r="45" spans="5:7">
      <c r="F45" s="109"/>
      <c r="G45" s="109"/>
    </row>
  </sheetData>
  <mergeCells count="18">
    <mergeCell ref="A1:C1"/>
    <mergeCell ref="A2:C2"/>
    <mergeCell ref="A3:C3"/>
    <mergeCell ref="A6:A7"/>
    <mergeCell ref="B6:B7"/>
    <mergeCell ref="C6:C7"/>
    <mergeCell ref="K6:K7"/>
    <mergeCell ref="E6:E7"/>
    <mergeCell ref="F6:F7"/>
    <mergeCell ref="G6:G7"/>
    <mergeCell ref="I6:I7"/>
    <mergeCell ref="J6:J7"/>
    <mergeCell ref="E1:G1"/>
    <mergeCell ref="E2:G2"/>
    <mergeCell ref="E3:G3"/>
    <mergeCell ref="I1:K1"/>
    <mergeCell ref="I2:K2"/>
    <mergeCell ref="I3:K3"/>
  </mergeCells>
  <pageMargins left="0.70866141732283472" right="0.70866141732283472" top="0.74803149606299213" bottom="0.74803149606299213" header="0.31496062992125984" footer="0.31496062992125984"/>
  <pageSetup paperSize="5" scale="6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5"/>
  <sheetViews>
    <sheetView topLeftCell="A7" zoomScale="70" zoomScaleNormal="70" zoomScalePageLayoutView="73" workbookViewId="0">
      <selection activeCell="A30" sqref="A30:C35"/>
    </sheetView>
  </sheetViews>
  <sheetFormatPr defaultColWidth="9" defaultRowHeight="15"/>
  <cols>
    <col min="1" max="1" width="27.7109375" customWidth="1"/>
    <col min="2" max="2" width="25.42578125" customWidth="1"/>
    <col min="3" max="3" width="23.5703125" customWidth="1"/>
    <col min="5" max="5" width="30.140625" customWidth="1"/>
    <col min="6" max="6" width="24.42578125" customWidth="1"/>
    <col min="7" max="7" width="20.85546875" customWidth="1"/>
    <col min="9" max="9" width="25.5703125" customWidth="1"/>
    <col min="10" max="10" width="23.85546875" customWidth="1"/>
    <col min="11" max="11" width="24.42578125" customWidth="1"/>
  </cols>
  <sheetData>
    <row r="1" spans="1:11" ht="15.75">
      <c r="A1" s="304" t="s">
        <v>0</v>
      </c>
      <c r="B1" s="304"/>
      <c r="C1" s="304"/>
      <c r="D1" s="2"/>
      <c r="E1" s="304" t="s">
        <v>0</v>
      </c>
      <c r="F1" s="304"/>
      <c r="G1" s="304"/>
      <c r="I1" s="304" t="s">
        <v>0</v>
      </c>
      <c r="J1" s="304"/>
      <c r="K1" s="304"/>
    </row>
    <row r="2" spans="1:11" ht="15.75">
      <c r="A2" s="304" t="s">
        <v>17</v>
      </c>
      <c r="B2" s="304"/>
      <c r="C2" s="304"/>
      <c r="D2" s="2"/>
      <c r="E2" s="304" t="s">
        <v>17</v>
      </c>
      <c r="F2" s="304"/>
      <c r="G2" s="304"/>
      <c r="I2" s="304" t="s">
        <v>17</v>
      </c>
      <c r="J2" s="304"/>
      <c r="K2" s="304"/>
    </row>
    <row r="3" spans="1:11" ht="15.75">
      <c r="A3" s="304" t="s">
        <v>97</v>
      </c>
      <c r="B3" s="304"/>
      <c r="C3" s="304"/>
      <c r="D3" s="2"/>
      <c r="E3" s="304" t="s">
        <v>116</v>
      </c>
      <c r="F3" s="304"/>
      <c r="G3" s="304"/>
      <c r="I3" s="304" t="s">
        <v>117</v>
      </c>
      <c r="J3" s="304"/>
      <c r="K3" s="304"/>
    </row>
    <row r="4" spans="1:11" ht="15.75">
      <c r="A4" s="101"/>
      <c r="B4" s="101"/>
      <c r="C4" s="101"/>
      <c r="D4" s="24"/>
    </row>
    <row r="5" spans="1:11" ht="15.75" thickBot="1">
      <c r="A5" s="107" t="s">
        <v>102</v>
      </c>
      <c r="B5" s="2"/>
      <c r="C5" s="2"/>
      <c r="D5" s="2"/>
      <c r="E5" s="107"/>
      <c r="F5" s="107"/>
      <c r="G5" s="107"/>
      <c r="H5" s="107"/>
      <c r="I5" s="107"/>
    </row>
    <row r="6" spans="1:11" ht="32.25" thickBot="1">
      <c r="A6" s="10" t="s">
        <v>1</v>
      </c>
      <c r="B6" s="9" t="s">
        <v>29</v>
      </c>
      <c r="C6" s="9" t="s">
        <v>33</v>
      </c>
      <c r="D6" s="2"/>
      <c r="E6" s="10" t="s">
        <v>1</v>
      </c>
      <c r="F6" s="9" t="s">
        <v>29</v>
      </c>
      <c r="G6" s="9" t="s">
        <v>33</v>
      </c>
      <c r="I6" s="10" t="s">
        <v>1</v>
      </c>
      <c r="J6" s="9" t="s">
        <v>29</v>
      </c>
      <c r="K6" s="9" t="s">
        <v>33</v>
      </c>
    </row>
    <row r="7" spans="1:11" ht="16.5" thickBot="1">
      <c r="A7" s="11" t="s">
        <v>14</v>
      </c>
      <c r="B7" s="12" t="s">
        <v>15</v>
      </c>
      <c r="C7" s="12" t="s">
        <v>16</v>
      </c>
      <c r="D7" s="2"/>
      <c r="E7" s="11" t="s">
        <v>14</v>
      </c>
      <c r="F7" s="12" t="s">
        <v>15</v>
      </c>
      <c r="G7" s="12" t="s">
        <v>16</v>
      </c>
      <c r="I7" s="11" t="s">
        <v>14</v>
      </c>
      <c r="J7" s="12" t="s">
        <v>15</v>
      </c>
      <c r="K7" s="12" t="s">
        <v>16</v>
      </c>
    </row>
    <row r="8" spans="1:11" ht="16.5" thickBot="1">
      <c r="A8" s="6" t="s">
        <v>2</v>
      </c>
      <c r="B8" s="31">
        <f t="shared" ref="B8:C11" si="0">SUM(F8+J8)</f>
        <v>352109</v>
      </c>
      <c r="C8" s="31">
        <f t="shared" si="0"/>
        <v>5382566.5219999999</v>
      </c>
      <c r="D8" s="2"/>
      <c r="E8" s="6" t="s">
        <v>2</v>
      </c>
      <c r="F8" s="31">
        <f>SUM(195264)</f>
        <v>195264</v>
      </c>
      <c r="G8" s="121">
        <f>3108544250/1000</f>
        <v>3108544.25</v>
      </c>
      <c r="I8" s="6" t="s">
        <v>2</v>
      </c>
      <c r="J8" s="31">
        <f>SUM(52731+64150+4958+4395+30611)</f>
        <v>156845</v>
      </c>
      <c r="K8" s="31">
        <f>SUM(544700000+607907000+50000000+26727272+1044688000)/1000</f>
        <v>2274022.2719999999</v>
      </c>
    </row>
    <row r="9" spans="1:11" ht="16.5" thickBot="1">
      <c r="A9" s="6" t="s">
        <v>3</v>
      </c>
      <c r="B9" s="31">
        <f t="shared" si="0"/>
        <v>345674</v>
      </c>
      <c r="C9" s="31">
        <f t="shared" si="0"/>
        <v>3836865.5</v>
      </c>
      <c r="D9" s="2"/>
      <c r="E9" s="6" t="s">
        <v>3</v>
      </c>
      <c r="F9" s="31">
        <f>169467</f>
        <v>169467</v>
      </c>
      <c r="G9" s="121">
        <f>2526307000/1000</f>
        <v>2526307</v>
      </c>
      <c r="I9" s="6" t="s">
        <v>3</v>
      </c>
      <c r="J9" s="31">
        <f>SUM(153720+14390+4049+4048+0)</f>
        <v>176207</v>
      </c>
      <c r="K9" s="31">
        <f>SUM(1149900000+108950000+25854500+25854000+0)/1000</f>
        <v>1310558.5</v>
      </c>
    </row>
    <row r="10" spans="1:11" ht="16.5" thickBot="1">
      <c r="A10" s="6" t="s">
        <v>4</v>
      </c>
      <c r="B10" s="31">
        <f t="shared" si="0"/>
        <v>420655</v>
      </c>
      <c r="C10" s="31">
        <f t="shared" si="0"/>
        <v>6094529.25</v>
      </c>
      <c r="D10" s="2"/>
      <c r="E10" s="6" t="s">
        <v>4</v>
      </c>
      <c r="F10" s="121">
        <f>145763</f>
        <v>145763</v>
      </c>
      <c r="G10" s="121">
        <f>2549076250/1000</f>
        <v>2549076.25</v>
      </c>
      <c r="I10" s="6" t="s">
        <v>4</v>
      </c>
      <c r="J10" s="31">
        <f>SUM(183771+25463+14678+5422+45558)</f>
        <v>274892</v>
      </c>
      <c r="K10" s="31">
        <f>SUM(1784600000+186350000+114000000+47272000+1413231000)/1000</f>
        <v>3545453</v>
      </c>
    </row>
    <row r="11" spans="1:11" ht="16.5" thickBot="1">
      <c r="A11" s="6" t="s">
        <v>5</v>
      </c>
      <c r="B11" s="31">
        <f t="shared" si="0"/>
        <v>318439</v>
      </c>
      <c r="C11" s="31">
        <f t="shared" si="0"/>
        <v>3990660.6</v>
      </c>
      <c r="D11" s="2"/>
      <c r="E11" s="6" t="s">
        <v>5</v>
      </c>
      <c r="F11" s="121">
        <f>106978</f>
        <v>106978</v>
      </c>
      <c r="G11" s="121">
        <f>2219702600/1000</f>
        <v>2219702.6</v>
      </c>
      <c r="I11" s="6" t="s">
        <v>5</v>
      </c>
      <c r="J11" s="31">
        <f>SUM(141235+24734+3004+6724+35764)</f>
        <v>211461</v>
      </c>
      <c r="K11" s="31">
        <f>SUM(992800000+215200000+40000000+41000000+481958000)/1000</f>
        <v>1770958</v>
      </c>
    </row>
    <row r="12" spans="1:11" ht="16.5" thickBot="1">
      <c r="A12" s="6" t="s">
        <v>6</v>
      </c>
      <c r="B12" s="31">
        <f>SUM(F12+J12)</f>
        <v>311648</v>
      </c>
      <c r="C12" s="31">
        <f>SUM(G12+K12)</f>
        <v>4505819.8</v>
      </c>
      <c r="D12" s="2"/>
      <c r="E12" s="6" t="s">
        <v>6</v>
      </c>
      <c r="F12" s="121">
        <f>96064</f>
        <v>96064</v>
      </c>
      <c r="G12" s="121">
        <f>2085383300/1000</f>
        <v>2085383.3</v>
      </c>
      <c r="I12" s="6" t="s">
        <v>6</v>
      </c>
      <c r="J12" s="31">
        <f>SUM(142169+34850+3214+4848+2885+27618)</f>
        <v>215584</v>
      </c>
      <c r="K12" s="31">
        <f>SUM(1156850000+315200000+60700000+42800000+90469000+754417500)/1000</f>
        <v>2420436.5</v>
      </c>
    </row>
    <row r="13" spans="1:11" ht="16.5" thickBot="1">
      <c r="A13" s="6" t="s">
        <v>7</v>
      </c>
      <c r="B13" s="31">
        <f>SUM(F13+J13)</f>
        <v>392215</v>
      </c>
      <c r="C13" s="31">
        <f t="shared" ref="C13:C19" si="1">SUM(G13+K13)</f>
        <v>4244893.5</v>
      </c>
      <c r="D13" s="2"/>
      <c r="E13" s="6" t="s">
        <v>7</v>
      </c>
      <c r="F13" s="31">
        <f>85268</f>
        <v>85268</v>
      </c>
      <c r="G13" s="121">
        <f>1811011000/1000</f>
        <v>1811011</v>
      </c>
      <c r="I13" s="6" t="s">
        <v>7</v>
      </c>
      <c r="J13" s="31">
        <f>SUM(224532+40694+4750+0+8875+28096)</f>
        <v>306947</v>
      </c>
      <c r="K13" s="31">
        <f>SUM(1664800000+364330000+50000000+55000000+0+299752500)/1000</f>
        <v>2433882.5</v>
      </c>
    </row>
    <row r="14" spans="1:11" ht="16.5" thickBot="1">
      <c r="A14" s="6" t="s">
        <v>8</v>
      </c>
      <c r="B14" s="31">
        <f>SUM(F14+J14)</f>
        <v>371474</v>
      </c>
      <c r="C14" s="31">
        <f>SUM(G14+K14)</f>
        <v>4187889.1</v>
      </c>
      <c r="D14" s="2"/>
      <c r="E14" s="6" t="s">
        <v>8</v>
      </c>
      <c r="F14" s="31">
        <v>124315</v>
      </c>
      <c r="G14" s="121">
        <f>2155472700/1000</f>
        <v>2155472.7000000002</v>
      </c>
      <c r="I14" s="6" t="s">
        <v>8</v>
      </c>
      <c r="J14" s="31">
        <f>SUM(161678+39748+4435+5630+35668)</f>
        <v>247159</v>
      </c>
      <c r="K14" s="31">
        <f>SUM(1194713000+365135400+42520000+37700000+392348000)/1000</f>
        <v>2032416.4</v>
      </c>
    </row>
    <row r="15" spans="1:11" ht="16.5" thickBot="1">
      <c r="A15" s="6" t="s">
        <v>9</v>
      </c>
      <c r="B15" s="31">
        <f>SUM(F15+J15)</f>
        <v>341587</v>
      </c>
      <c r="C15" s="31">
        <f>SUM(G15+K15)</f>
        <v>3468688.5</v>
      </c>
      <c r="D15" s="2"/>
      <c r="E15" s="6" t="s">
        <v>9</v>
      </c>
      <c r="F15" s="31">
        <v>124371</v>
      </c>
      <c r="G15" s="121">
        <f>2058908500/1000</f>
        <v>2058908.5</v>
      </c>
      <c r="I15" s="6" t="s">
        <v>9</v>
      </c>
      <c r="J15" s="31">
        <f>SUM(121949+55462+1555+10600+27650)</f>
        <v>217216</v>
      </c>
      <c r="K15" s="31">
        <f>SUM(528000000+494730000+42900000+40000000+304150000)/1000</f>
        <v>1409780</v>
      </c>
    </row>
    <row r="16" spans="1:11" ht="16.5" thickBot="1">
      <c r="A16" s="6" t="s">
        <v>10</v>
      </c>
      <c r="B16" s="31">
        <f t="shared" ref="B16:B19" si="2">SUM(F16+J16)</f>
        <v>0</v>
      </c>
      <c r="C16" s="31">
        <f t="shared" si="1"/>
        <v>0</v>
      </c>
      <c r="D16" s="2"/>
      <c r="E16" s="6" t="s">
        <v>10</v>
      </c>
      <c r="F16" s="31">
        <v>0</v>
      </c>
      <c r="G16" s="31">
        <v>0</v>
      </c>
      <c r="I16" s="6" t="s">
        <v>10</v>
      </c>
      <c r="J16" s="31">
        <v>0</v>
      </c>
      <c r="K16" s="31">
        <v>0</v>
      </c>
    </row>
    <row r="17" spans="1:11" ht="16.5" thickBot="1">
      <c r="A17" s="6" t="s">
        <v>11</v>
      </c>
      <c r="B17" s="31">
        <f t="shared" si="2"/>
        <v>0</v>
      </c>
      <c r="C17" s="31">
        <f t="shared" si="1"/>
        <v>0</v>
      </c>
      <c r="D17" s="2"/>
      <c r="E17" s="6" t="s">
        <v>11</v>
      </c>
      <c r="F17" s="31">
        <v>0</v>
      </c>
      <c r="G17" s="31">
        <v>0</v>
      </c>
      <c r="I17" s="6" t="s">
        <v>11</v>
      </c>
      <c r="J17" s="31">
        <v>0</v>
      </c>
      <c r="K17" s="31">
        <v>0</v>
      </c>
    </row>
    <row r="18" spans="1:11" ht="16.5" thickBot="1">
      <c r="A18" s="6" t="s">
        <v>12</v>
      </c>
      <c r="B18" s="31">
        <f t="shared" si="2"/>
        <v>0</v>
      </c>
      <c r="C18" s="31">
        <f t="shared" si="1"/>
        <v>0</v>
      </c>
      <c r="D18" s="2"/>
      <c r="E18" s="6" t="s">
        <v>12</v>
      </c>
      <c r="F18" s="31">
        <v>0</v>
      </c>
      <c r="G18" s="31">
        <v>0</v>
      </c>
      <c r="I18" s="6" t="s">
        <v>12</v>
      </c>
      <c r="J18" s="31">
        <v>0</v>
      </c>
      <c r="K18" s="31">
        <v>0</v>
      </c>
    </row>
    <row r="19" spans="1:11" ht="16.5" thickBot="1">
      <c r="A19" s="6" t="s">
        <v>13</v>
      </c>
      <c r="B19" s="31">
        <f t="shared" si="2"/>
        <v>0</v>
      </c>
      <c r="C19" s="31">
        <f t="shared" si="1"/>
        <v>0</v>
      </c>
      <c r="D19" s="2"/>
      <c r="E19" s="6" t="s">
        <v>13</v>
      </c>
      <c r="F19" s="31">
        <v>0</v>
      </c>
      <c r="G19" s="31">
        <v>0</v>
      </c>
      <c r="I19" s="6" t="s">
        <v>13</v>
      </c>
      <c r="J19" s="31">
        <v>0</v>
      </c>
      <c r="K19" s="31">
        <v>0</v>
      </c>
    </row>
    <row r="20" spans="1:11" ht="16.5" thickBot="1">
      <c r="A20" s="7" t="s">
        <v>98</v>
      </c>
      <c r="B20" s="98">
        <f>SUM(B8:B19)</f>
        <v>2853801</v>
      </c>
      <c r="C20" s="98">
        <f>SUM(C8:C19)</f>
        <v>35711912.772</v>
      </c>
      <c r="D20" s="2"/>
      <c r="E20" s="7" t="s">
        <v>98</v>
      </c>
      <c r="F20" s="36">
        <f>SUM(F8:F19)</f>
        <v>1047490</v>
      </c>
      <c r="G20" s="98">
        <f>SUM(G8:G19)</f>
        <v>18514405.600000001</v>
      </c>
      <c r="I20" s="7" t="s">
        <v>98</v>
      </c>
      <c r="J20" s="36">
        <f>SUM(J8:J19)</f>
        <v>1806311</v>
      </c>
      <c r="K20" s="36">
        <f>SUM(K8:K19)</f>
        <v>17197507.171999998</v>
      </c>
    </row>
    <row r="21" spans="1:11" ht="16.5" thickBot="1">
      <c r="A21" s="7">
        <v>2021</v>
      </c>
      <c r="B21" s="26">
        <v>3675474</v>
      </c>
      <c r="C21" s="26">
        <v>47817447</v>
      </c>
      <c r="D21" s="2"/>
    </row>
    <row r="22" spans="1:11" ht="16.5" thickBot="1">
      <c r="A22" s="7">
        <v>2020</v>
      </c>
      <c r="B22" s="26">
        <v>3827110</v>
      </c>
      <c r="C22" s="26">
        <v>35263708</v>
      </c>
      <c r="D22" s="2"/>
    </row>
    <row r="23" spans="1:11" ht="16.5" thickBot="1">
      <c r="A23" s="7">
        <v>2019</v>
      </c>
      <c r="B23" s="26">
        <v>3897601</v>
      </c>
      <c r="C23" s="26">
        <v>35649385</v>
      </c>
      <c r="D23" s="2"/>
    </row>
    <row r="24" spans="1:11" ht="16.5" thickBot="1">
      <c r="A24" s="7">
        <v>2018</v>
      </c>
      <c r="B24" s="26">
        <v>3027414</v>
      </c>
      <c r="C24" s="26">
        <v>31786526</v>
      </c>
      <c r="D24" s="2"/>
    </row>
    <row r="25" spans="1:11">
      <c r="A25" s="2"/>
      <c r="B25" s="2"/>
      <c r="C25" s="2"/>
      <c r="D25" s="2"/>
    </row>
    <row r="26" spans="1:11">
      <c r="A26" s="2"/>
      <c r="B26" s="2"/>
      <c r="C26" s="2"/>
      <c r="D26" s="2"/>
      <c r="G26" s="113"/>
    </row>
    <row r="27" spans="1:11">
      <c r="A27" s="305" t="s">
        <v>31</v>
      </c>
      <c r="B27" s="305"/>
      <c r="C27" s="305"/>
      <c r="D27" s="305"/>
    </row>
    <row r="28" spans="1:11">
      <c r="A28" s="305" t="s">
        <v>32</v>
      </c>
      <c r="B28" s="305"/>
      <c r="C28" s="305"/>
      <c r="D28" s="305"/>
    </row>
    <row r="29" spans="1:11" ht="15.75" thickBot="1"/>
    <row r="30" spans="1:11" ht="45" customHeight="1" thickBot="1">
      <c r="A30" s="158"/>
      <c r="B30" s="159" t="s">
        <v>29</v>
      </c>
      <c r="C30" s="159" t="s">
        <v>33</v>
      </c>
    </row>
    <row r="31" spans="1:11" ht="15.75" thickBot="1">
      <c r="A31" s="160" t="s">
        <v>121</v>
      </c>
      <c r="B31" s="161">
        <f>SUM(B8:B10)</f>
        <v>1118438</v>
      </c>
      <c r="C31" s="161">
        <f>SUM(C8:C10)</f>
        <v>15313961.272</v>
      </c>
    </row>
    <row r="32" spans="1:11" ht="15.75" thickBot="1">
      <c r="A32" s="160" t="s">
        <v>118</v>
      </c>
      <c r="B32" s="161">
        <f>SUM(B11:B13)</f>
        <v>1022302</v>
      </c>
      <c r="C32" s="161">
        <f>SUM(C11:C13)</f>
        <v>12741373.9</v>
      </c>
    </row>
    <row r="33" spans="1:3" ht="15.75" thickBot="1">
      <c r="A33" s="160" t="s">
        <v>119</v>
      </c>
      <c r="B33" s="161">
        <f>SUM(B14:B16)</f>
        <v>713061</v>
      </c>
      <c r="C33" s="161">
        <f>SUM(C14:C16)</f>
        <v>7656577.5999999996</v>
      </c>
    </row>
    <row r="34" spans="1:3" ht="15.75" thickBot="1">
      <c r="A34" s="160" t="s">
        <v>120</v>
      </c>
      <c r="B34" s="161">
        <f>SUM(B17:B19)</f>
        <v>0</v>
      </c>
      <c r="C34" s="161">
        <f>SUM(C17:C19)</f>
        <v>0</v>
      </c>
    </row>
    <row r="35" spans="1:3" ht="15.75" thickBot="1">
      <c r="A35" s="160" t="s">
        <v>69</v>
      </c>
      <c r="B35" s="162">
        <f>SUM(B31:B34)</f>
        <v>2853801</v>
      </c>
      <c r="C35" s="162">
        <f>SUM(C31:C34)</f>
        <v>35711912.772</v>
      </c>
    </row>
  </sheetData>
  <mergeCells count="11">
    <mergeCell ref="A1:C1"/>
    <mergeCell ref="A2:C2"/>
    <mergeCell ref="A3:C3"/>
    <mergeCell ref="A27:D27"/>
    <mergeCell ref="A28:D28"/>
    <mergeCell ref="E1:G1"/>
    <mergeCell ref="E2:G2"/>
    <mergeCell ref="E3:G3"/>
    <mergeCell ref="I1:K1"/>
    <mergeCell ref="I2:K2"/>
    <mergeCell ref="I3:K3"/>
  </mergeCells>
  <pageMargins left="0.70866141732283472" right="0.70866141732283472" top="0.74803149606299213" bottom="0.74803149606299213" header="0.31496062992125984" footer="0.31496062992125984"/>
  <pageSetup paperSize="5"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1"/>
  <sheetViews>
    <sheetView topLeftCell="A4" zoomScale="70" zoomScaleNormal="70" zoomScalePageLayoutView="80" workbookViewId="0">
      <selection activeCell="G30" sqref="G30"/>
    </sheetView>
  </sheetViews>
  <sheetFormatPr defaultColWidth="9" defaultRowHeight="15"/>
  <cols>
    <col min="1" max="1" width="27.7109375" customWidth="1"/>
    <col min="2" max="3" width="25.42578125" customWidth="1"/>
    <col min="5" max="5" width="14.28515625" bestFit="1" customWidth="1"/>
  </cols>
  <sheetData>
    <row r="1" spans="1:5">
      <c r="A1" s="298" t="s">
        <v>0</v>
      </c>
      <c r="B1" s="298"/>
      <c r="C1" s="298"/>
      <c r="D1" s="2"/>
    </row>
    <row r="2" spans="1:5">
      <c r="A2" s="298" t="s">
        <v>56</v>
      </c>
      <c r="B2" s="298"/>
      <c r="C2" s="298"/>
      <c r="D2" s="2"/>
    </row>
    <row r="3" spans="1:5">
      <c r="A3" s="298" t="s">
        <v>99</v>
      </c>
      <c r="B3" s="298"/>
      <c r="C3" s="298"/>
      <c r="D3" s="2"/>
    </row>
    <row r="4" spans="1:5" ht="15.75" thickBot="1">
      <c r="A4" s="2"/>
      <c r="B4" s="2"/>
      <c r="C4" s="2"/>
      <c r="D4" s="2"/>
    </row>
    <row r="5" spans="1:5" ht="37.5" customHeight="1" thickBot="1">
      <c r="A5" s="10" t="s">
        <v>36</v>
      </c>
      <c r="B5" s="9" t="s">
        <v>37</v>
      </c>
      <c r="C5" s="3" t="s">
        <v>29</v>
      </c>
      <c r="D5" s="2"/>
    </row>
    <row r="6" spans="1:5" ht="16.5" thickBot="1">
      <c r="A6" s="4">
        <v>1</v>
      </c>
      <c r="B6" s="5">
        <v>2</v>
      </c>
      <c r="C6" s="5">
        <v>3</v>
      </c>
      <c r="D6" s="2"/>
    </row>
    <row r="7" spans="1:5" ht="16.5" thickBot="1">
      <c r="A7" s="6" t="s">
        <v>38</v>
      </c>
      <c r="B7" s="37">
        <v>0</v>
      </c>
      <c r="C7" s="37">
        <v>0</v>
      </c>
      <c r="D7" s="2"/>
    </row>
    <row r="8" spans="1:5" ht="16.5" thickBot="1">
      <c r="A8" s="6" t="s">
        <v>39</v>
      </c>
      <c r="B8" s="37">
        <v>0</v>
      </c>
      <c r="C8" s="37">
        <v>0</v>
      </c>
      <c r="D8" s="2"/>
    </row>
    <row r="9" spans="1:5" ht="16.5" thickBot="1">
      <c r="A9" s="6" t="s">
        <v>40</v>
      </c>
      <c r="B9" s="37">
        <v>0</v>
      </c>
      <c r="C9" s="37">
        <v>0</v>
      </c>
      <c r="D9" s="2"/>
    </row>
    <row r="10" spans="1:5" ht="16.5" thickBot="1">
      <c r="A10" s="6" t="s">
        <v>41</v>
      </c>
      <c r="B10" s="37">
        <v>0</v>
      </c>
      <c r="C10" s="37">
        <v>0</v>
      </c>
      <c r="D10" s="2"/>
    </row>
    <row r="11" spans="1:5" ht="16.5" thickBot="1">
      <c r="A11" s="6" t="s">
        <v>42</v>
      </c>
      <c r="B11" s="37">
        <v>0</v>
      </c>
      <c r="C11" s="37">
        <v>0</v>
      </c>
      <c r="D11" s="2"/>
    </row>
    <row r="12" spans="1:5" ht="16.5" thickBot="1">
      <c r="A12" s="6" t="s">
        <v>43</v>
      </c>
      <c r="B12" s="37">
        <v>0</v>
      </c>
      <c r="C12" s="37">
        <v>0</v>
      </c>
      <c r="D12" s="2"/>
    </row>
    <row r="13" spans="1:5" ht="16.5" thickBot="1">
      <c r="A13" s="6" t="s">
        <v>44</v>
      </c>
      <c r="B13" s="37">
        <v>0</v>
      </c>
      <c r="C13" s="37">
        <v>0</v>
      </c>
      <c r="D13" s="2"/>
    </row>
    <row r="14" spans="1:5" ht="16.5" thickBot="1">
      <c r="A14" s="6" t="s">
        <v>45</v>
      </c>
      <c r="B14" s="37">
        <v>0</v>
      </c>
      <c r="C14" s="37">
        <v>0</v>
      </c>
      <c r="D14" s="2"/>
    </row>
    <row r="15" spans="1:5" ht="16.5" thickBot="1">
      <c r="A15" s="6" t="s">
        <v>46</v>
      </c>
      <c r="B15" s="37">
        <v>0</v>
      </c>
      <c r="C15" s="37">
        <v>0</v>
      </c>
      <c r="D15" s="2"/>
    </row>
    <row r="16" spans="1:5" ht="16.5" thickBot="1">
      <c r="A16" s="6" t="s">
        <v>47</v>
      </c>
      <c r="B16" s="56">
        <v>0</v>
      </c>
      <c r="C16" s="105">
        <v>0</v>
      </c>
      <c r="D16" s="2"/>
      <c r="E16" s="95"/>
    </row>
    <row r="17" spans="1:5" ht="16.5" thickBot="1">
      <c r="A17" s="6" t="s">
        <v>48</v>
      </c>
      <c r="B17" s="56">
        <v>0</v>
      </c>
      <c r="C17" s="105">
        <v>0</v>
      </c>
      <c r="D17" s="2"/>
      <c r="E17" s="95"/>
    </row>
    <row r="18" spans="1:5" ht="16.5" thickBot="1">
      <c r="A18" s="6" t="s">
        <v>49</v>
      </c>
      <c r="B18" s="56">
        <v>0</v>
      </c>
      <c r="C18" s="31">
        <v>0</v>
      </c>
      <c r="D18" s="2"/>
      <c r="E18" s="96"/>
    </row>
    <row r="19" spans="1:5" ht="16.5" thickBot="1">
      <c r="A19" s="6" t="s">
        <v>50</v>
      </c>
      <c r="B19" s="56">
        <v>0</v>
      </c>
      <c r="C19" s="105">
        <v>0</v>
      </c>
      <c r="D19" s="2"/>
      <c r="E19" s="95"/>
    </row>
    <row r="20" spans="1:5" ht="16.5" thickBot="1">
      <c r="A20" s="6" t="s">
        <v>51</v>
      </c>
      <c r="B20" s="56">
        <v>0</v>
      </c>
      <c r="C20" s="105">
        <v>0</v>
      </c>
      <c r="D20" s="2"/>
      <c r="E20" s="95"/>
    </row>
    <row r="21" spans="1:5" ht="16.5" thickBot="1">
      <c r="A21" s="6" t="s">
        <v>52</v>
      </c>
      <c r="B21" s="56">
        <v>0</v>
      </c>
      <c r="C21" s="31">
        <v>0</v>
      </c>
      <c r="D21" s="2"/>
      <c r="E21" s="96"/>
    </row>
    <row r="22" spans="1:5" ht="16.5" thickBot="1">
      <c r="A22" s="6" t="s">
        <v>53</v>
      </c>
      <c r="B22" s="56">
        <v>0</v>
      </c>
      <c r="C22" s="31">
        <v>0</v>
      </c>
      <c r="D22" s="2"/>
      <c r="E22" s="96"/>
    </row>
    <row r="23" spans="1:5" ht="16.5" thickBot="1">
      <c r="A23" s="6" t="s">
        <v>54</v>
      </c>
      <c r="B23" s="56">
        <v>0</v>
      </c>
      <c r="C23" s="105">
        <v>0</v>
      </c>
      <c r="D23" s="2"/>
      <c r="E23" s="95"/>
    </row>
    <row r="24" spans="1:5" ht="16.5" thickBot="1">
      <c r="A24" s="7" t="s">
        <v>98</v>
      </c>
      <c r="B24" s="45">
        <f>SUM(B7:B23)</f>
        <v>0</v>
      </c>
      <c r="C24" s="98">
        <f>SUM(C7:C23)</f>
        <v>0</v>
      </c>
      <c r="D24" s="2"/>
      <c r="E24" s="97"/>
    </row>
    <row r="25" spans="1:5" ht="16.5" thickBot="1">
      <c r="A25" s="7">
        <v>2021</v>
      </c>
      <c r="B25" s="45">
        <v>9052.9599999999991</v>
      </c>
      <c r="C25" s="36">
        <v>71987789</v>
      </c>
      <c r="D25" s="2"/>
    </row>
    <row r="26" spans="1:5" ht="16.5" thickBot="1">
      <c r="A26" s="7">
        <v>2020</v>
      </c>
      <c r="B26" s="45">
        <v>9120.2999999999993</v>
      </c>
      <c r="C26" s="36">
        <v>69173284</v>
      </c>
      <c r="D26" s="2"/>
    </row>
    <row r="27" spans="1:5" ht="16.5" thickBot="1">
      <c r="A27" s="7">
        <v>2019</v>
      </c>
      <c r="B27" s="43">
        <v>12748</v>
      </c>
      <c r="C27" s="36">
        <v>70302258</v>
      </c>
      <c r="D27" s="2"/>
    </row>
    <row r="28" spans="1:5" ht="16.5" thickBot="1">
      <c r="A28" s="7">
        <v>2018</v>
      </c>
      <c r="B28" s="43">
        <v>12748</v>
      </c>
      <c r="C28" s="36">
        <v>75147077</v>
      </c>
      <c r="D28" s="2"/>
    </row>
    <row r="29" spans="1:5">
      <c r="A29" s="2"/>
      <c r="B29" s="2"/>
      <c r="C29" s="2"/>
      <c r="D29" s="2"/>
    </row>
    <row r="30" spans="1:5">
      <c r="A30" s="2"/>
      <c r="B30" s="2"/>
      <c r="C30" s="2"/>
      <c r="D30" s="2"/>
    </row>
    <row r="31" spans="1:5">
      <c r="A31" s="305" t="s">
        <v>55</v>
      </c>
      <c r="B31" s="305"/>
      <c r="C31" s="305"/>
      <c r="D31" s="305"/>
    </row>
  </sheetData>
  <mergeCells count="4">
    <mergeCell ref="A1:C1"/>
    <mergeCell ref="A2:C2"/>
    <mergeCell ref="A3:C3"/>
    <mergeCell ref="A31:D31"/>
  </mergeCells>
  <pageMargins left="0.7" right="0.7" top="0.75" bottom="0.75" header="0.3" footer="0.3"/>
  <pageSetup paperSize="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topLeftCell="A7" zoomScale="70" zoomScaleNormal="70" workbookViewId="0">
      <selection activeCell="A31" sqref="A31:C36"/>
    </sheetView>
  </sheetViews>
  <sheetFormatPr defaultColWidth="9" defaultRowHeight="15"/>
  <cols>
    <col min="1" max="1" width="27.7109375" customWidth="1"/>
    <col min="2" max="2" width="25.42578125" customWidth="1"/>
    <col min="3" max="3" width="22.5703125" customWidth="1"/>
    <col min="4" max="4" width="6" customWidth="1"/>
    <col min="5" max="5" width="4.5703125" customWidth="1"/>
    <col min="6" max="6" width="19.42578125" bestFit="1" customWidth="1"/>
    <col min="7" max="7" width="18" customWidth="1"/>
    <col min="8" max="8" width="22.28515625" customWidth="1"/>
    <col min="9" max="9" width="24.42578125" bestFit="1" customWidth="1"/>
    <col min="10" max="10" width="19.28515625" customWidth="1"/>
    <col min="11" max="11" width="18.42578125" customWidth="1"/>
    <col min="12" max="12" width="18.5703125" customWidth="1"/>
    <col min="13" max="13" width="16.28515625" bestFit="1" customWidth="1"/>
    <col min="14" max="14" width="20.140625" customWidth="1"/>
    <col min="18" max="18" width="12" bestFit="1" customWidth="1"/>
    <col min="19" max="19" width="28.28515625" customWidth="1"/>
  </cols>
  <sheetData>
    <row r="1" spans="1:19" ht="15.75">
      <c r="A1" s="304" t="s">
        <v>0</v>
      </c>
      <c r="B1" s="304"/>
      <c r="C1" s="304"/>
      <c r="D1" s="24"/>
    </row>
    <row r="2" spans="1:19" ht="15.75">
      <c r="A2" s="304" t="s">
        <v>91</v>
      </c>
      <c r="B2" s="304"/>
      <c r="C2" s="304"/>
      <c r="D2" s="24"/>
    </row>
    <row r="3" spans="1:19" ht="15.75">
      <c r="A3" s="304" t="s">
        <v>97</v>
      </c>
      <c r="B3" s="304"/>
      <c r="C3" s="304"/>
      <c r="D3" s="24"/>
    </row>
    <row r="4" spans="1:19" ht="15.75">
      <c r="A4" s="101"/>
      <c r="B4" s="101"/>
      <c r="C4" s="101"/>
      <c r="D4" s="24"/>
    </row>
    <row r="5" spans="1:19" ht="15.75" thickBot="1">
      <c r="A5" s="107" t="s">
        <v>102</v>
      </c>
      <c r="B5" s="24"/>
      <c r="C5" s="24"/>
      <c r="D5" s="24"/>
    </row>
    <row r="6" spans="1:19" ht="32.25" thickBot="1">
      <c r="A6" s="10" t="s">
        <v>1</v>
      </c>
      <c r="B6" s="9" t="s">
        <v>29</v>
      </c>
      <c r="C6" s="9" t="s">
        <v>35</v>
      </c>
      <c r="D6" s="24"/>
    </row>
    <row r="7" spans="1:19" ht="16.5" thickBot="1">
      <c r="A7" s="11" t="s">
        <v>14</v>
      </c>
      <c r="B7" s="12" t="s">
        <v>15</v>
      </c>
      <c r="C7" s="29" t="s">
        <v>16</v>
      </c>
      <c r="D7" s="24"/>
      <c r="F7" s="143"/>
      <c r="G7" s="144" t="s">
        <v>123</v>
      </c>
      <c r="H7" s="145" t="s">
        <v>124</v>
      </c>
      <c r="I7" s="145" t="s">
        <v>126</v>
      </c>
      <c r="J7" s="145" t="s">
        <v>127</v>
      </c>
      <c r="K7" s="145" t="s">
        <v>128</v>
      </c>
      <c r="L7" s="145" t="s">
        <v>129</v>
      </c>
      <c r="M7" s="145" t="s">
        <v>130</v>
      </c>
      <c r="N7" s="145" t="s">
        <v>69</v>
      </c>
    </row>
    <row r="8" spans="1:19" ht="16.5" thickBot="1">
      <c r="A8" s="6" t="s">
        <v>2</v>
      </c>
      <c r="B8" s="28">
        <v>5262036</v>
      </c>
      <c r="C8" s="50">
        <f t="shared" ref="C8:C13" si="0">N8/1000</f>
        <v>47705879</v>
      </c>
      <c r="D8" s="24"/>
      <c r="F8" s="146" t="s">
        <v>2</v>
      </c>
      <c r="G8" s="147">
        <f>475180*G22</f>
        <v>8553240000</v>
      </c>
      <c r="H8" s="147">
        <f>437125*H22</f>
        <v>21856250000</v>
      </c>
      <c r="I8" s="148">
        <f>59805*I22</f>
        <v>4485375000</v>
      </c>
      <c r="J8" s="148">
        <f>47310*J22</f>
        <v>3311700000</v>
      </c>
      <c r="K8" s="148">
        <f>3966074*K22</f>
        <v>3966074000</v>
      </c>
      <c r="L8" s="148">
        <f>276502*L22</f>
        <v>5530040000</v>
      </c>
      <c r="M8" s="148">
        <f>40*M22</f>
        <v>3200000</v>
      </c>
      <c r="N8" s="149">
        <f>SUM(G8:M8)</f>
        <v>47705879000</v>
      </c>
      <c r="Q8" t="s">
        <v>132</v>
      </c>
      <c r="R8" s="113">
        <f>SUM(B8:B10)</f>
        <v>15491016</v>
      </c>
      <c r="S8" s="138">
        <f>SUM(N8:N10)</f>
        <v>147241356000</v>
      </c>
    </row>
    <row r="9" spans="1:19" ht="16.5" thickBot="1">
      <c r="A9" s="6" t="s">
        <v>3</v>
      </c>
      <c r="B9" s="28">
        <v>5042933</v>
      </c>
      <c r="C9" s="50">
        <f t="shared" si="0"/>
        <v>50729105</v>
      </c>
      <c r="D9" s="24"/>
      <c r="F9" s="146" t="s">
        <v>3</v>
      </c>
      <c r="G9" s="147">
        <f>453880*G22</f>
        <v>8169840000</v>
      </c>
      <c r="H9" s="147">
        <f>495310*H22</f>
        <v>24765500000</v>
      </c>
      <c r="I9" s="148">
        <f>55903*I22</f>
        <v>4192725000</v>
      </c>
      <c r="J9" s="148">
        <f>66320*J22</f>
        <v>4642400000</v>
      </c>
      <c r="K9" s="148">
        <f>3709040*K22</f>
        <v>3709040000</v>
      </c>
      <c r="L9" s="148">
        <f>262480*L22</f>
        <v>5249600000</v>
      </c>
      <c r="M9" s="148">
        <f>0*M22</f>
        <v>0</v>
      </c>
      <c r="N9" s="149">
        <f>SUM(G9:M9)</f>
        <v>50729105000</v>
      </c>
      <c r="Q9" t="s">
        <v>118</v>
      </c>
      <c r="R9" s="113">
        <f>SUM(B11:B13)</f>
        <v>12552531</v>
      </c>
      <c r="S9" s="138">
        <f>SUM(N11:N13)</f>
        <v>123039189000</v>
      </c>
    </row>
    <row r="10" spans="1:19" ht="16.5" thickBot="1">
      <c r="A10" s="6" t="s">
        <v>4</v>
      </c>
      <c r="B10" s="28">
        <v>5186047</v>
      </c>
      <c r="C10" s="50">
        <f t="shared" si="0"/>
        <v>48806372</v>
      </c>
      <c r="D10" s="24"/>
      <c r="F10" s="146" t="s">
        <v>4</v>
      </c>
      <c r="G10" s="147">
        <f>516308*G22</f>
        <v>9293544000</v>
      </c>
      <c r="H10" s="147">
        <f>419251*H22</f>
        <v>20962550000</v>
      </c>
      <c r="I10" s="148">
        <f>58309*I22</f>
        <v>4373175000</v>
      </c>
      <c r="J10" s="148">
        <f>78400*J22</f>
        <v>5488000000</v>
      </c>
      <c r="K10" s="148">
        <f>3873203*K22</f>
        <v>3873203000</v>
      </c>
      <c r="L10" s="148">
        <f>240503*L22</f>
        <v>4810060000</v>
      </c>
      <c r="M10" s="148">
        <f>73*M22</f>
        <v>5840000</v>
      </c>
      <c r="N10" s="149">
        <f>SUM(G10:M10)</f>
        <v>48806372000</v>
      </c>
      <c r="Q10" t="s">
        <v>119</v>
      </c>
      <c r="R10" s="113">
        <f>SUM(B14:B16)</f>
        <v>22991934</v>
      </c>
      <c r="S10" s="138">
        <f>SUM(N14:N16)</f>
        <v>114304058000</v>
      </c>
    </row>
    <row r="11" spans="1:19" ht="16.5" thickBot="1">
      <c r="A11" s="6" t="s">
        <v>5</v>
      </c>
      <c r="B11" s="28">
        <v>5567221</v>
      </c>
      <c r="C11" s="51">
        <f t="shared" si="0"/>
        <v>58828027</v>
      </c>
      <c r="D11" s="24"/>
      <c r="F11" s="146" t="s">
        <v>5</v>
      </c>
      <c r="G11" s="147">
        <f>560800*G22</f>
        <v>10094400000</v>
      </c>
      <c r="H11" s="147">
        <f>590300*H22</f>
        <v>29515000000</v>
      </c>
      <c r="I11" s="148">
        <f>55958*I22</f>
        <v>4196850000</v>
      </c>
      <c r="J11" s="148">
        <f>73200*J22</f>
        <v>5124000000</v>
      </c>
      <c r="K11" s="148">
        <f>3991657*K22</f>
        <v>3991657000</v>
      </c>
      <c r="L11" s="148">
        <f>295306*L22</f>
        <v>5906120000</v>
      </c>
      <c r="M11" s="148">
        <f>0*M22</f>
        <v>0</v>
      </c>
      <c r="N11" s="149">
        <f>SUM(G11:M11)</f>
        <v>58828027000</v>
      </c>
      <c r="Q11" t="s">
        <v>120</v>
      </c>
      <c r="R11" s="113">
        <f>SUM(B17:B19)</f>
        <v>0</v>
      </c>
      <c r="S11" s="138">
        <f>SUM(N17:N19)</f>
        <v>0</v>
      </c>
    </row>
    <row r="12" spans="1:19" ht="16.5" thickBot="1">
      <c r="A12" s="6" t="s">
        <v>6</v>
      </c>
      <c r="B12" s="28">
        <v>3372296</v>
      </c>
      <c r="C12" s="52">
        <f t="shared" si="0"/>
        <v>29160858</v>
      </c>
      <c r="D12" s="24"/>
      <c r="F12" s="146" t="s">
        <v>6</v>
      </c>
      <c r="G12" s="147">
        <f>39764*G22</f>
        <v>715752000</v>
      </c>
      <c r="H12" s="147">
        <f>329725*H22</f>
        <v>16486250000</v>
      </c>
      <c r="I12" s="148">
        <f>49376*I22</f>
        <v>3703200000</v>
      </c>
      <c r="J12" s="148">
        <f>39875*J22</f>
        <v>2791250000</v>
      </c>
      <c r="K12" s="148">
        <f>2783646*K22</f>
        <v>2783646000</v>
      </c>
      <c r="L12" s="148">
        <f>128534*L22</f>
        <v>2570680000</v>
      </c>
      <c r="M12" s="148">
        <f>1376*M22</f>
        <v>110080000</v>
      </c>
      <c r="N12" s="149">
        <f t="shared" ref="N12:N19" si="1">SUM(G12:M12)</f>
        <v>29160858000</v>
      </c>
      <c r="R12" s="114">
        <f>SUM(R8:R11)</f>
        <v>51035481</v>
      </c>
      <c r="S12" s="114">
        <f>SUM(S8:S11)</f>
        <v>384584603000</v>
      </c>
    </row>
    <row r="13" spans="1:19" ht="16.5" thickBot="1">
      <c r="A13" s="6" t="s">
        <v>7</v>
      </c>
      <c r="B13" s="28">
        <v>3613014</v>
      </c>
      <c r="C13" s="52">
        <f t="shared" si="0"/>
        <v>35050304</v>
      </c>
      <c r="D13" s="24"/>
      <c r="F13" s="146" t="s">
        <v>7</v>
      </c>
      <c r="G13" s="147">
        <f>382396*G22</f>
        <v>6883128000</v>
      </c>
      <c r="H13" s="147">
        <f>340500*H22</f>
        <v>17025000000</v>
      </c>
      <c r="I13" s="148">
        <f>49500*I22</f>
        <v>3712500000</v>
      </c>
      <c r="J13" s="148">
        <f>35985*J22</f>
        <v>2518950000</v>
      </c>
      <c r="K13" s="148">
        <f>2693786*K22</f>
        <v>2693786000</v>
      </c>
      <c r="L13" s="148">
        <f>110847*L22</f>
        <v>2216940000</v>
      </c>
      <c r="M13" s="148">
        <f>0*M22</f>
        <v>0</v>
      </c>
      <c r="N13" s="149">
        <f t="shared" si="1"/>
        <v>35050304000</v>
      </c>
    </row>
    <row r="14" spans="1:19" ht="16.5" thickBot="1">
      <c r="A14" s="6" t="s">
        <v>8</v>
      </c>
      <c r="B14" s="28">
        <v>7503815</v>
      </c>
      <c r="C14" s="52">
        <f>N14/1000</f>
        <v>28940390</v>
      </c>
      <c r="D14" s="24"/>
      <c r="F14" s="146" t="s">
        <v>8</v>
      </c>
      <c r="G14" s="147">
        <f>286780*G22</f>
        <v>5162040000</v>
      </c>
      <c r="H14" s="147">
        <f>221425*H22</f>
        <v>11071250000</v>
      </c>
      <c r="I14" s="208">
        <f>42560*I22</f>
        <v>3192000000</v>
      </c>
      <c r="J14" s="208">
        <f>5850*J22</f>
        <v>409500000</v>
      </c>
      <c r="K14" s="208">
        <f>6833600*K22</f>
        <v>6833600000</v>
      </c>
      <c r="L14" s="208">
        <f>113600*L22</f>
        <v>2272000000</v>
      </c>
      <c r="M14" s="208">
        <f>0*M22</f>
        <v>0</v>
      </c>
      <c r="N14" s="149">
        <f t="shared" si="1"/>
        <v>28940390000</v>
      </c>
    </row>
    <row r="15" spans="1:19" ht="16.5" thickBot="1">
      <c r="A15" s="6" t="s">
        <v>9</v>
      </c>
      <c r="B15" s="28">
        <v>7268094</v>
      </c>
      <c r="C15" s="52">
        <f>N15/1000</f>
        <v>21413020</v>
      </c>
      <c r="D15" s="24"/>
      <c r="F15" s="146" t="s">
        <v>9</v>
      </c>
      <c r="G15" s="209">
        <f>309440*G22</f>
        <v>5569920000</v>
      </c>
      <c r="H15" s="209">
        <f>86500*H22</f>
        <v>4325000000</v>
      </c>
      <c r="I15" s="208">
        <f>24664*I22</f>
        <v>1849800000</v>
      </c>
      <c r="J15" s="208">
        <f>5310*J22</f>
        <v>371700000</v>
      </c>
      <c r="K15" s="208">
        <f>6713000*K22</f>
        <v>6713000000</v>
      </c>
      <c r="L15" s="208">
        <f>129180*L22</f>
        <v>2583600000</v>
      </c>
      <c r="M15" s="208">
        <f>0*M22</f>
        <v>0</v>
      </c>
      <c r="N15" s="210">
        <f t="shared" si="1"/>
        <v>21413020000</v>
      </c>
    </row>
    <row r="16" spans="1:19" ht="16.5" thickBot="1">
      <c r="A16" s="6" t="s">
        <v>10</v>
      </c>
      <c r="B16" s="28">
        <v>8220025</v>
      </c>
      <c r="C16" s="52">
        <f>N16/1000</f>
        <v>63950648</v>
      </c>
      <c r="D16" s="24"/>
      <c r="F16" s="146" t="s">
        <v>10</v>
      </c>
      <c r="G16" s="209">
        <f>489036*G22</f>
        <v>8802648000</v>
      </c>
      <c r="H16" s="209">
        <f>887825*H22</f>
        <v>44391250000</v>
      </c>
      <c r="I16" s="208">
        <f>26054*I22</f>
        <v>1954050000</v>
      </c>
      <c r="J16" s="208">
        <f>4710*J22</f>
        <v>329700000</v>
      </c>
      <c r="K16" s="208">
        <f>6725000*K22</f>
        <v>6725000000</v>
      </c>
      <c r="L16" s="208">
        <f>87400*L22</f>
        <v>1748000000</v>
      </c>
      <c r="M16" s="208">
        <f>0*M22</f>
        <v>0</v>
      </c>
      <c r="N16" s="210">
        <f t="shared" si="1"/>
        <v>63950648000</v>
      </c>
    </row>
    <row r="17" spans="1:15" ht="16.5" thickBot="1">
      <c r="A17" s="6" t="s">
        <v>11</v>
      </c>
      <c r="B17" s="28">
        <v>0</v>
      </c>
      <c r="C17" s="52">
        <v>0</v>
      </c>
      <c r="D17" s="24"/>
      <c r="F17" s="146" t="s">
        <v>11</v>
      </c>
      <c r="G17" s="209"/>
      <c r="H17" s="209"/>
      <c r="I17" s="208"/>
      <c r="J17" s="208"/>
      <c r="K17" s="208"/>
      <c r="L17" s="208"/>
      <c r="M17" s="208"/>
      <c r="N17" s="210">
        <f t="shared" si="1"/>
        <v>0</v>
      </c>
    </row>
    <row r="18" spans="1:15" ht="16.5" thickBot="1">
      <c r="A18" s="6" t="s">
        <v>12</v>
      </c>
      <c r="B18" s="28">
        <v>0</v>
      </c>
      <c r="C18" s="50">
        <v>0</v>
      </c>
      <c r="D18" s="24"/>
      <c r="F18" s="146" t="s">
        <v>12</v>
      </c>
      <c r="G18" s="209"/>
      <c r="H18" s="209"/>
      <c r="I18" s="208"/>
      <c r="J18" s="208"/>
      <c r="K18" s="208"/>
      <c r="L18" s="208"/>
      <c r="M18" s="208"/>
      <c r="N18" s="210">
        <f t="shared" si="1"/>
        <v>0</v>
      </c>
    </row>
    <row r="19" spans="1:15" ht="16.5" thickBot="1">
      <c r="A19" s="6" t="s">
        <v>13</v>
      </c>
      <c r="B19" s="28">
        <v>0</v>
      </c>
      <c r="C19" s="50">
        <v>0</v>
      </c>
      <c r="D19" s="24"/>
      <c r="F19" s="146" t="s">
        <v>13</v>
      </c>
      <c r="G19" s="209"/>
      <c r="H19" s="209"/>
      <c r="I19" s="208"/>
      <c r="J19" s="208"/>
      <c r="K19" s="208"/>
      <c r="L19" s="208"/>
      <c r="M19" s="208"/>
      <c r="N19" s="210">
        <f t="shared" si="1"/>
        <v>0</v>
      </c>
    </row>
    <row r="20" spans="1:15" ht="16.5" thickBot="1">
      <c r="A20" s="7" t="s">
        <v>98</v>
      </c>
      <c r="B20" s="36">
        <f>SUM(B8:B19)</f>
        <v>51035481</v>
      </c>
      <c r="C20" s="36">
        <f>SUM(C8:C19)</f>
        <v>384584603</v>
      </c>
      <c r="D20" s="24"/>
      <c r="F20" s="143" t="s">
        <v>69</v>
      </c>
      <c r="G20" s="147">
        <f t="shared" ref="G20:N20" si="2">SUM(G8:G19)</f>
        <v>63244512000</v>
      </c>
      <c r="H20" s="147">
        <f t="shared" si="2"/>
        <v>190398050000</v>
      </c>
      <c r="I20" s="147">
        <f t="shared" si="2"/>
        <v>31659675000</v>
      </c>
      <c r="J20" s="147">
        <f t="shared" si="2"/>
        <v>24987200000</v>
      </c>
      <c r="K20" s="147">
        <f t="shared" si="2"/>
        <v>41289006000</v>
      </c>
      <c r="L20" s="147">
        <f t="shared" si="2"/>
        <v>32887040000</v>
      </c>
      <c r="M20" s="147">
        <f t="shared" si="2"/>
        <v>119120000</v>
      </c>
      <c r="N20" s="149">
        <f t="shared" si="2"/>
        <v>384584603000</v>
      </c>
    </row>
    <row r="21" spans="1:15" ht="16.5" thickBot="1">
      <c r="A21" s="7">
        <v>2021</v>
      </c>
      <c r="B21" s="46">
        <v>71987789</v>
      </c>
      <c r="C21" s="47">
        <v>491365366</v>
      </c>
      <c r="D21" s="24"/>
      <c r="F21" s="150" t="s">
        <v>131</v>
      </c>
      <c r="G21" s="150" t="s">
        <v>123</v>
      </c>
      <c r="H21" s="150" t="s">
        <v>125</v>
      </c>
      <c r="I21" s="150" t="str">
        <f>I7</f>
        <v>udang Vaname Intensif</v>
      </c>
      <c r="J21" s="150" t="str">
        <f>J7</f>
        <v>Udang Windu</v>
      </c>
      <c r="K21" s="150" t="str">
        <f>K7</f>
        <v>Rumput laut</v>
      </c>
      <c r="L21" s="150" t="str">
        <f>L7</f>
        <v>Nilai Air Payau</v>
      </c>
      <c r="M21" s="150" t="str">
        <f>M7</f>
        <v>Kepiting Bakau</v>
      </c>
      <c r="N21" s="151"/>
      <c r="O21" s="151"/>
    </row>
    <row r="22" spans="1:15" ht="16.5" thickBot="1">
      <c r="A22" s="7">
        <v>2020</v>
      </c>
      <c r="B22" s="46">
        <v>69173284</v>
      </c>
      <c r="C22" s="47">
        <v>434540222</v>
      </c>
      <c r="D22" s="24"/>
      <c r="F22" s="140" t="s">
        <v>133</v>
      </c>
      <c r="G22" s="141">
        <v>18000</v>
      </c>
      <c r="H22" s="141">
        <v>50000</v>
      </c>
      <c r="I22" s="142">
        <v>75000</v>
      </c>
      <c r="J22" s="142">
        <v>70000</v>
      </c>
      <c r="K22" s="142">
        <v>1000</v>
      </c>
      <c r="L22" s="142">
        <v>20000</v>
      </c>
      <c r="M22" s="142">
        <v>80000</v>
      </c>
      <c r="N22" s="139"/>
    </row>
    <row r="23" spans="1:15" ht="16.5" thickBot="1">
      <c r="A23" s="7">
        <v>2019</v>
      </c>
      <c r="B23" s="46">
        <v>70302258</v>
      </c>
      <c r="C23" s="47">
        <v>407615301.08399999</v>
      </c>
      <c r="D23" s="24"/>
      <c r="F23" s="139"/>
      <c r="G23" s="27"/>
      <c r="H23" s="27"/>
      <c r="I23" s="139"/>
      <c r="J23" s="139"/>
      <c r="K23" s="139"/>
      <c r="L23" s="139"/>
      <c r="M23" s="139"/>
      <c r="N23" s="139"/>
    </row>
    <row r="24" spans="1:15" ht="16.5" thickBot="1">
      <c r="A24" s="7">
        <v>2018</v>
      </c>
      <c r="B24" s="48">
        <v>75147077</v>
      </c>
      <c r="C24" s="49">
        <v>408430065.03299999</v>
      </c>
      <c r="D24" s="24"/>
      <c r="G24" s="27"/>
      <c r="H24" s="27"/>
    </row>
    <row r="25" spans="1:15">
      <c r="A25" s="24"/>
      <c r="B25" s="24"/>
      <c r="C25" s="24"/>
      <c r="D25" s="24"/>
    </row>
    <row r="26" spans="1:15">
      <c r="A26" s="24"/>
      <c r="B26" s="24"/>
      <c r="C26" s="30"/>
      <c r="D26" s="24"/>
    </row>
    <row r="27" spans="1:15">
      <c r="A27" s="305" t="s">
        <v>31</v>
      </c>
      <c r="B27" s="305"/>
      <c r="C27" s="305"/>
      <c r="D27" s="305"/>
    </row>
    <row r="28" spans="1:15">
      <c r="A28" s="305"/>
      <c r="B28" s="305"/>
      <c r="C28" s="305"/>
      <c r="D28" s="305"/>
    </row>
    <row r="30" spans="1:15" ht="15.75" thickBot="1"/>
    <row r="31" spans="1:15" ht="30.75" thickBot="1">
      <c r="A31" s="158"/>
      <c r="B31" s="159" t="s">
        <v>29</v>
      </c>
      <c r="C31" s="159" t="s">
        <v>33</v>
      </c>
    </row>
    <row r="32" spans="1:15" ht="15.75" thickBot="1">
      <c r="A32" s="160" t="s">
        <v>121</v>
      </c>
      <c r="B32" s="161">
        <f>SUM(B8:B10)</f>
        <v>15491016</v>
      </c>
      <c r="C32" s="161">
        <f>SUM(C8:C10)</f>
        <v>147241356</v>
      </c>
    </row>
    <row r="33" spans="1:3" ht="15.75" thickBot="1">
      <c r="A33" s="160" t="s">
        <v>118</v>
      </c>
      <c r="B33" s="161">
        <f>SUM(B11:B13)</f>
        <v>12552531</v>
      </c>
      <c r="C33" s="161">
        <f>SUM(C11:C13)</f>
        <v>123039189</v>
      </c>
    </row>
    <row r="34" spans="1:3" ht="15.75" thickBot="1">
      <c r="A34" s="160" t="s">
        <v>119</v>
      </c>
      <c r="B34" s="161">
        <f>SUM(B14:B16)</f>
        <v>22991934</v>
      </c>
      <c r="C34" s="161">
        <f>SUM(C14:C16)</f>
        <v>114304058</v>
      </c>
    </row>
    <row r="35" spans="1:3" ht="15.75" thickBot="1">
      <c r="A35" s="160" t="s">
        <v>120</v>
      </c>
      <c r="B35" s="161">
        <f>SUM(B17:B19)</f>
        <v>0</v>
      </c>
      <c r="C35" s="161">
        <f>SUM(C17:C19)</f>
        <v>0</v>
      </c>
    </row>
    <row r="36" spans="1:3" ht="15.75" thickBot="1">
      <c r="A36" s="160" t="s">
        <v>69</v>
      </c>
      <c r="B36" s="162">
        <f>SUM(B32:B35)</f>
        <v>51035481</v>
      </c>
      <c r="C36" s="162">
        <f>SUM(C32:C35)</f>
        <v>384584603</v>
      </c>
    </row>
  </sheetData>
  <mergeCells count="5">
    <mergeCell ref="A1:C1"/>
    <mergeCell ref="A2:C2"/>
    <mergeCell ref="A3:C3"/>
    <mergeCell ref="A27:D27"/>
    <mergeCell ref="A28:D28"/>
  </mergeCells>
  <pageMargins left="0.51181102362204722" right="0.70866141732283472" top="0.74803149606299213" bottom="0.74803149606299213" header="0.31496062992125984" footer="0.31496062992125984"/>
  <pageSetup paperSize="5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"/>
  <sheetViews>
    <sheetView topLeftCell="A3" zoomScale="80" zoomScaleNormal="80" workbookViewId="0">
      <selection activeCell="G18" sqref="G18"/>
    </sheetView>
  </sheetViews>
  <sheetFormatPr defaultColWidth="9" defaultRowHeight="15"/>
  <cols>
    <col min="1" max="1" width="27.7109375" customWidth="1"/>
    <col min="2" max="3" width="25.42578125" customWidth="1"/>
  </cols>
  <sheetData>
    <row r="1" spans="1:4" ht="15.75">
      <c r="A1" s="2"/>
      <c r="B1" s="1" t="s">
        <v>0</v>
      </c>
      <c r="C1" s="2"/>
      <c r="D1" s="2"/>
    </row>
    <row r="2" spans="1:4" ht="15.75">
      <c r="A2" s="304" t="s">
        <v>58</v>
      </c>
      <c r="B2" s="304"/>
      <c r="C2" s="304"/>
      <c r="D2" s="2"/>
    </row>
    <row r="3" spans="1:4" ht="15.75">
      <c r="A3" s="304" t="s">
        <v>100</v>
      </c>
      <c r="B3" s="304"/>
      <c r="C3" s="304"/>
      <c r="D3" s="2"/>
    </row>
    <row r="4" spans="1:4" ht="15.75" thickBot="1">
      <c r="A4" s="2"/>
      <c r="B4" s="2"/>
      <c r="C4" s="2"/>
      <c r="D4" s="2"/>
    </row>
    <row r="5" spans="1:4" ht="16.5" thickBot="1">
      <c r="A5" s="8" t="s">
        <v>36</v>
      </c>
      <c r="B5" s="3" t="s">
        <v>37</v>
      </c>
      <c r="C5" s="3" t="s">
        <v>57</v>
      </c>
      <c r="D5" s="2"/>
    </row>
    <row r="6" spans="1:4" ht="15.75" thickBot="1">
      <c r="A6" s="14">
        <v>1</v>
      </c>
      <c r="B6" s="15">
        <v>2</v>
      </c>
      <c r="C6" s="15">
        <v>3</v>
      </c>
      <c r="D6" s="2"/>
    </row>
    <row r="7" spans="1:4" ht="15.75" thickBot="1">
      <c r="A7" s="16" t="s">
        <v>38</v>
      </c>
      <c r="B7" s="85">
        <v>0</v>
      </c>
      <c r="C7" s="81">
        <v>0</v>
      </c>
      <c r="D7" s="2"/>
    </row>
    <row r="8" spans="1:4" ht="15.75" thickBot="1">
      <c r="A8" s="16" t="s">
        <v>39</v>
      </c>
      <c r="B8" s="86">
        <v>0</v>
      </c>
      <c r="C8" s="82">
        <v>0</v>
      </c>
      <c r="D8" s="2"/>
    </row>
    <row r="9" spans="1:4" ht="15.75" thickBot="1">
      <c r="A9" s="16" t="s">
        <v>40</v>
      </c>
      <c r="B9" s="87">
        <v>0</v>
      </c>
      <c r="C9" s="83">
        <v>0</v>
      </c>
      <c r="D9" s="2"/>
    </row>
    <row r="10" spans="1:4" ht="15.75" thickBot="1">
      <c r="A10" s="16" t="s">
        <v>41</v>
      </c>
      <c r="B10" s="85">
        <v>0</v>
      </c>
      <c r="C10" s="84">
        <v>0</v>
      </c>
      <c r="D10" s="2"/>
    </row>
    <row r="11" spans="1:4" ht="15.75" thickBot="1">
      <c r="A11" s="16" t="s">
        <v>42</v>
      </c>
      <c r="B11" s="86">
        <v>0</v>
      </c>
      <c r="C11" s="82">
        <v>0</v>
      </c>
      <c r="D11" s="2"/>
    </row>
    <row r="12" spans="1:4" ht="15.75" thickBot="1">
      <c r="A12" s="16" t="s">
        <v>43</v>
      </c>
      <c r="B12" s="86">
        <v>0</v>
      </c>
      <c r="C12" s="82">
        <v>0</v>
      </c>
      <c r="D12" s="2"/>
    </row>
    <row r="13" spans="1:4" ht="15.75" thickBot="1">
      <c r="A13" s="16" t="s">
        <v>44</v>
      </c>
      <c r="B13" s="86">
        <v>0</v>
      </c>
      <c r="C13" s="82">
        <v>0</v>
      </c>
      <c r="D13" s="2"/>
    </row>
    <row r="14" spans="1:4" ht="15.75" thickBot="1">
      <c r="A14" s="16" t="s">
        <v>45</v>
      </c>
      <c r="B14" s="106" t="s">
        <v>101</v>
      </c>
      <c r="C14" s="82">
        <v>0</v>
      </c>
      <c r="D14" s="2"/>
    </row>
    <row r="15" spans="1:4" ht="15.75" thickBot="1">
      <c r="A15" s="16" t="s">
        <v>46</v>
      </c>
      <c r="B15" s="86">
        <v>0</v>
      </c>
      <c r="C15" s="82">
        <v>0</v>
      </c>
      <c r="D15" s="2"/>
    </row>
    <row r="16" spans="1:4" ht="15.75" thickBot="1">
      <c r="A16" s="16" t="s">
        <v>47</v>
      </c>
      <c r="B16" s="86">
        <v>0</v>
      </c>
      <c r="C16" s="82">
        <v>0</v>
      </c>
      <c r="D16" s="2"/>
    </row>
    <row r="17" spans="1:4" ht="15.75" thickBot="1">
      <c r="A17" s="16" t="s">
        <v>48</v>
      </c>
      <c r="B17" s="86">
        <v>0</v>
      </c>
      <c r="C17" s="82">
        <v>0</v>
      </c>
      <c r="D17" s="2"/>
    </row>
    <row r="18" spans="1:4" ht="15.75" thickBot="1">
      <c r="A18" s="16" t="s">
        <v>49</v>
      </c>
      <c r="B18" s="87">
        <v>0</v>
      </c>
      <c r="C18" s="82">
        <v>0</v>
      </c>
      <c r="D18" s="2"/>
    </row>
    <row r="19" spans="1:4" ht="15.75" thickBot="1">
      <c r="A19" s="16" t="s">
        <v>50</v>
      </c>
      <c r="B19" s="88">
        <v>0</v>
      </c>
      <c r="C19" s="83">
        <v>0</v>
      </c>
      <c r="D19" s="2"/>
    </row>
    <row r="20" spans="1:4" ht="15.75" thickBot="1">
      <c r="A20" s="16" t="s">
        <v>51</v>
      </c>
      <c r="B20" s="88">
        <v>0</v>
      </c>
      <c r="C20" s="84">
        <v>0</v>
      </c>
      <c r="D20" s="2"/>
    </row>
    <row r="21" spans="1:4" ht="15.75" thickBot="1">
      <c r="A21" s="16" t="s">
        <v>52</v>
      </c>
      <c r="B21" s="87">
        <v>0</v>
      </c>
      <c r="C21" s="83">
        <v>0</v>
      </c>
      <c r="D21" s="2"/>
    </row>
    <row r="22" spans="1:4" ht="15.75" thickBot="1">
      <c r="A22" s="16" t="s">
        <v>53</v>
      </c>
      <c r="B22" s="85">
        <v>0</v>
      </c>
      <c r="C22" s="84">
        <v>0</v>
      </c>
      <c r="D22" s="2"/>
    </row>
    <row r="23" spans="1:4" ht="15.75" thickBot="1">
      <c r="A23" s="16" t="s">
        <v>54</v>
      </c>
      <c r="B23" s="87">
        <v>0</v>
      </c>
      <c r="C23" s="84">
        <v>0</v>
      </c>
      <c r="D23" s="2"/>
    </row>
    <row r="24" spans="1:4" ht="16.5" thickBot="1">
      <c r="A24" s="7" t="s">
        <v>98</v>
      </c>
      <c r="B24" s="89">
        <f>SUM(B7:B23)</f>
        <v>0</v>
      </c>
      <c r="C24" s="55">
        <f>SUM(C7:C23)</f>
        <v>0</v>
      </c>
      <c r="D24" s="2"/>
    </row>
    <row r="25" spans="1:4" ht="16.5" thickBot="1">
      <c r="A25" s="7">
        <v>2021</v>
      </c>
      <c r="B25" s="90">
        <v>17.89</v>
      </c>
      <c r="C25" s="36">
        <v>3289898</v>
      </c>
      <c r="D25" s="2"/>
    </row>
    <row r="26" spans="1:4" ht="16.5" thickBot="1">
      <c r="A26" s="7">
        <v>2020</v>
      </c>
      <c r="B26" s="90">
        <v>17.89</v>
      </c>
      <c r="C26" s="36">
        <v>2491297</v>
      </c>
      <c r="D26" s="2"/>
    </row>
    <row r="27" spans="1:4" ht="16.5" thickBot="1">
      <c r="A27" s="7">
        <v>2019</v>
      </c>
      <c r="B27" s="91">
        <v>51.901000000000003</v>
      </c>
      <c r="C27" s="38">
        <v>2582936</v>
      </c>
      <c r="D27" s="2"/>
    </row>
    <row r="28" spans="1:4" ht="16.5" thickBot="1">
      <c r="A28" s="7">
        <v>2018</v>
      </c>
      <c r="B28" s="54">
        <v>114.39</v>
      </c>
      <c r="C28" s="53">
        <v>2899782</v>
      </c>
      <c r="D28" s="2"/>
    </row>
    <row r="29" spans="1:4">
      <c r="A29" s="2"/>
      <c r="B29" s="2"/>
      <c r="C29" s="2"/>
      <c r="D29" s="2"/>
    </row>
    <row r="30" spans="1:4">
      <c r="A30" s="305" t="s">
        <v>31</v>
      </c>
      <c r="B30" s="305"/>
      <c r="C30" s="305"/>
      <c r="D30" s="305"/>
    </row>
    <row r="31" spans="1:4">
      <c r="A31" s="2"/>
      <c r="B31" s="2"/>
      <c r="C31" s="2"/>
      <c r="D31" s="2"/>
    </row>
  </sheetData>
  <mergeCells count="3">
    <mergeCell ref="A2:C2"/>
    <mergeCell ref="A3:C3"/>
    <mergeCell ref="A30:D30"/>
  </mergeCells>
  <pageMargins left="0.7" right="0.7" top="0.75" bottom="0.75" header="0.3" footer="0.3"/>
  <pageSetup paperSize="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5"/>
  <sheetViews>
    <sheetView zoomScale="70" zoomScaleNormal="70" zoomScalePageLayoutView="75" workbookViewId="0">
      <selection activeCell="F1" sqref="F1"/>
    </sheetView>
  </sheetViews>
  <sheetFormatPr defaultColWidth="9" defaultRowHeight="15"/>
  <cols>
    <col min="1" max="1" width="27.7109375" customWidth="1"/>
    <col min="2" max="2" width="25.42578125" customWidth="1"/>
    <col min="3" max="3" width="23" customWidth="1"/>
    <col min="4" max="4" width="7.7109375" customWidth="1"/>
    <col min="6" max="6" width="19.42578125" bestFit="1" customWidth="1"/>
    <col min="7" max="7" width="18.85546875" customWidth="1"/>
    <col min="8" max="8" width="17.28515625" customWidth="1"/>
    <col min="9" max="9" width="15.42578125" customWidth="1"/>
    <col min="10" max="10" width="18.85546875" bestFit="1" customWidth="1"/>
    <col min="11" max="11" width="14.85546875" customWidth="1"/>
    <col min="12" max="12" width="17.5703125" bestFit="1" customWidth="1"/>
    <col min="13" max="13" width="14.7109375" customWidth="1"/>
    <col min="14" max="14" width="15.42578125" customWidth="1"/>
    <col min="15" max="15" width="15.140625" customWidth="1"/>
    <col min="16" max="16" width="18.140625" bestFit="1" customWidth="1"/>
    <col min="20" max="20" width="11.140625" bestFit="1" customWidth="1"/>
    <col min="21" max="21" width="16.140625" bestFit="1" customWidth="1"/>
  </cols>
  <sheetData>
    <row r="1" spans="1:21" ht="15" customHeight="1">
      <c r="A1" s="304" t="s">
        <v>0</v>
      </c>
      <c r="B1" s="304"/>
      <c r="C1" s="304"/>
      <c r="D1" s="24"/>
    </row>
    <row r="2" spans="1:21" ht="15.75">
      <c r="A2" s="304" t="s">
        <v>90</v>
      </c>
      <c r="B2" s="304"/>
      <c r="C2" s="304"/>
      <c r="D2" s="24"/>
    </row>
    <row r="3" spans="1:21" ht="15.75">
      <c r="A3" s="304" t="s">
        <v>97</v>
      </c>
      <c r="B3" s="304"/>
      <c r="C3" s="304"/>
      <c r="D3" s="24"/>
    </row>
    <row r="4" spans="1:21" ht="15.75">
      <c r="A4" s="101"/>
      <c r="B4" s="101"/>
      <c r="C4" s="101"/>
      <c r="D4" s="24"/>
    </row>
    <row r="5" spans="1:21" ht="15.75" thickBot="1">
      <c r="A5" s="107" t="s">
        <v>102</v>
      </c>
      <c r="B5" s="24"/>
      <c r="C5" s="24"/>
      <c r="D5" s="24"/>
    </row>
    <row r="6" spans="1:21" ht="32.25" thickBot="1">
      <c r="A6" s="10" t="s">
        <v>59</v>
      </c>
      <c r="B6" s="9" t="s">
        <v>29</v>
      </c>
      <c r="C6" s="9" t="s">
        <v>35</v>
      </c>
      <c r="D6" s="24"/>
    </row>
    <row r="7" spans="1:21" ht="16.5" thickBot="1">
      <c r="A7" s="17">
        <v>1</v>
      </c>
      <c r="B7" s="18">
        <v>2</v>
      </c>
      <c r="C7" s="18">
        <v>3</v>
      </c>
      <c r="D7" s="24"/>
      <c r="F7" s="143"/>
      <c r="G7" s="144" t="s">
        <v>134</v>
      </c>
      <c r="H7" s="145" t="s">
        <v>135</v>
      </c>
      <c r="I7" s="145" t="s">
        <v>136</v>
      </c>
      <c r="J7" s="145" t="s">
        <v>137</v>
      </c>
      <c r="K7" s="145" t="s">
        <v>138</v>
      </c>
      <c r="L7" s="145" t="s">
        <v>139</v>
      </c>
      <c r="M7" s="145" t="s">
        <v>140</v>
      </c>
      <c r="N7" s="145" t="s">
        <v>141</v>
      </c>
      <c r="O7" s="145" t="s">
        <v>142</v>
      </c>
      <c r="P7" s="145" t="s">
        <v>69</v>
      </c>
    </row>
    <row r="8" spans="1:21" ht="16.5" thickBot="1">
      <c r="A8" s="6" t="s">
        <v>2</v>
      </c>
      <c r="B8" s="31">
        <v>324268</v>
      </c>
      <c r="C8" s="31">
        <f t="shared" ref="C8:C13" si="0">P8/1000</f>
        <v>7003220</v>
      </c>
      <c r="D8" s="24"/>
      <c r="F8" s="146" t="s">
        <v>2</v>
      </c>
      <c r="G8" s="147">
        <f>318970*G22</f>
        <v>6857855000</v>
      </c>
      <c r="H8" s="147">
        <f>2678*H22</f>
        <v>60255000</v>
      </c>
      <c r="I8" s="148">
        <f>1200*I22</f>
        <v>36000000</v>
      </c>
      <c r="J8" s="148">
        <f>800*J22</f>
        <v>20000000</v>
      </c>
      <c r="K8" s="148">
        <f>0*K22</f>
        <v>0</v>
      </c>
      <c r="L8" s="148">
        <f>420*L22</f>
        <v>19110000</v>
      </c>
      <c r="M8" s="148">
        <f>200*M22</f>
        <v>10000000</v>
      </c>
      <c r="N8" s="148">
        <f>0*N22</f>
        <v>0</v>
      </c>
      <c r="O8" s="148">
        <f>0*O22</f>
        <v>0</v>
      </c>
      <c r="P8" s="149">
        <f>SUM(G8:O8)</f>
        <v>7003220000</v>
      </c>
      <c r="S8" t="s">
        <v>132</v>
      </c>
      <c r="T8" s="113">
        <f>SUM(B8:B10)</f>
        <v>843305</v>
      </c>
      <c r="U8" s="138">
        <f>SUM(P8:P10)</f>
        <v>18306552500</v>
      </c>
    </row>
    <row r="9" spans="1:21" ht="16.5" thickBot="1">
      <c r="A9" s="6" t="s">
        <v>3</v>
      </c>
      <c r="B9" s="31">
        <v>342063</v>
      </c>
      <c r="C9" s="31">
        <f t="shared" si="0"/>
        <v>7377622.5</v>
      </c>
      <c r="D9" s="24"/>
      <c r="F9" s="146" t="s">
        <v>3</v>
      </c>
      <c r="G9" s="147">
        <f>336575*G22</f>
        <v>7236362500</v>
      </c>
      <c r="H9" s="147">
        <f>2698*H22</f>
        <v>60705000</v>
      </c>
      <c r="I9" s="148">
        <f>800*I22</f>
        <v>24000000</v>
      </c>
      <c r="J9" s="148">
        <f>1680*J22</f>
        <v>42000000</v>
      </c>
      <c r="K9" s="148">
        <f>0*K22</f>
        <v>0</v>
      </c>
      <c r="L9" s="148">
        <f>210*L22</f>
        <v>9555000</v>
      </c>
      <c r="M9" s="148">
        <f>100*M22</f>
        <v>5000000</v>
      </c>
      <c r="N9" s="148">
        <f>0*N22</f>
        <v>0</v>
      </c>
      <c r="O9" s="148">
        <f>0*O22</f>
        <v>0</v>
      </c>
      <c r="P9" s="149">
        <f t="shared" ref="P9:P19" si="1">SUM(G9:O9)</f>
        <v>7377622500</v>
      </c>
      <c r="S9" t="s">
        <v>118</v>
      </c>
      <c r="T9" s="113">
        <f>SUM(B11:B13)</f>
        <v>1131118</v>
      </c>
      <c r="U9" s="138">
        <f>SUM(P11:P13)</f>
        <v>25326305000</v>
      </c>
    </row>
    <row r="10" spans="1:21" ht="16.5" thickBot="1">
      <c r="A10" s="6" t="s">
        <v>4</v>
      </c>
      <c r="B10" s="31">
        <v>176974</v>
      </c>
      <c r="C10" s="31">
        <f t="shared" si="0"/>
        <v>3925710</v>
      </c>
      <c r="D10" s="24"/>
      <c r="F10" s="146" t="s">
        <v>4</v>
      </c>
      <c r="G10" s="147">
        <f>162830*G22</f>
        <v>3500845000</v>
      </c>
      <c r="H10" s="147">
        <f>4954*H22</f>
        <v>111465000</v>
      </c>
      <c r="I10" s="154">
        <f>2200*I22</f>
        <v>66000000</v>
      </c>
      <c r="J10" s="148">
        <f>1160*J22</f>
        <v>29000000</v>
      </c>
      <c r="K10" s="148">
        <f>1000*K22</f>
        <v>35000000</v>
      </c>
      <c r="L10" s="148">
        <f>3240*L22</f>
        <v>147420000</v>
      </c>
      <c r="M10" s="148">
        <f>100*M22</f>
        <v>5000000</v>
      </c>
      <c r="N10" s="148">
        <f>590*N22</f>
        <v>12980000</v>
      </c>
      <c r="O10" s="148">
        <f>900*O22</f>
        <v>18000000</v>
      </c>
      <c r="P10" s="149">
        <f t="shared" si="1"/>
        <v>3925710000</v>
      </c>
      <c r="S10" t="s">
        <v>119</v>
      </c>
      <c r="T10" s="113">
        <f>SUM(B14:B16)</f>
        <v>1552057</v>
      </c>
      <c r="U10" s="138">
        <f>SUM(P14:P16)</f>
        <v>33428399500</v>
      </c>
    </row>
    <row r="11" spans="1:21" ht="16.5" thickBot="1">
      <c r="A11" s="6" t="s">
        <v>5</v>
      </c>
      <c r="B11" s="31">
        <v>481567</v>
      </c>
      <c r="C11" s="31">
        <f t="shared" si="0"/>
        <v>11142762.5</v>
      </c>
      <c r="D11" s="24"/>
      <c r="F11" s="146" t="s">
        <v>5</v>
      </c>
      <c r="G11" s="147">
        <f>387005*G22</f>
        <v>8320607500</v>
      </c>
      <c r="H11" s="147">
        <f>61278*H22</f>
        <v>1378755000</v>
      </c>
      <c r="I11" s="148">
        <f>0*I22</f>
        <v>0</v>
      </c>
      <c r="J11" s="148">
        <f>2384*J22</f>
        <v>59600000</v>
      </c>
      <c r="K11" s="148">
        <f>0*K22</f>
        <v>0</v>
      </c>
      <c r="L11" s="148">
        <f>30000*L22</f>
        <v>1365000000</v>
      </c>
      <c r="M11" s="148">
        <f>0*M22</f>
        <v>0</v>
      </c>
      <c r="N11" s="148">
        <f>400*N22</f>
        <v>8800000</v>
      </c>
      <c r="O11" s="148">
        <f>500*O22</f>
        <v>10000000</v>
      </c>
      <c r="P11" s="149">
        <f t="shared" si="1"/>
        <v>11142762500</v>
      </c>
      <c r="S11" t="s">
        <v>120</v>
      </c>
      <c r="T11" s="113">
        <f>SUM(B17:B19)</f>
        <v>0</v>
      </c>
      <c r="U11" s="138">
        <f>SUM(P17:P19)</f>
        <v>0</v>
      </c>
    </row>
    <row r="12" spans="1:21" ht="16.5" thickBot="1">
      <c r="A12" s="6" t="s">
        <v>6</v>
      </c>
      <c r="B12" s="31">
        <v>440376</v>
      </c>
      <c r="C12" s="31">
        <f t="shared" si="0"/>
        <v>9533980</v>
      </c>
      <c r="D12" s="24"/>
      <c r="F12" s="146" t="s">
        <v>6</v>
      </c>
      <c r="G12" s="147">
        <f>377480*G22</f>
        <v>8115820000</v>
      </c>
      <c r="H12" s="147">
        <f>62496*H22</f>
        <v>1406160000</v>
      </c>
      <c r="I12" s="148">
        <f>400*I22</f>
        <v>12000000</v>
      </c>
      <c r="J12" s="148">
        <f t="shared" ref="J12:O12" si="2">0*J22</f>
        <v>0</v>
      </c>
      <c r="K12" s="148">
        <f t="shared" si="2"/>
        <v>0</v>
      </c>
      <c r="L12" s="148">
        <f t="shared" si="2"/>
        <v>0</v>
      </c>
      <c r="M12" s="148">
        <f t="shared" si="2"/>
        <v>0</v>
      </c>
      <c r="N12" s="148">
        <f t="shared" si="2"/>
        <v>0</v>
      </c>
      <c r="O12" s="148">
        <f t="shared" si="2"/>
        <v>0</v>
      </c>
      <c r="P12" s="149">
        <f t="shared" si="1"/>
        <v>9533980000</v>
      </c>
      <c r="T12" s="114">
        <f>SUM(T8:T11)</f>
        <v>3526480</v>
      </c>
      <c r="U12" s="114">
        <f>SUM(U8:U11)</f>
        <v>77061257000</v>
      </c>
    </row>
    <row r="13" spans="1:21" ht="16.5" thickBot="1">
      <c r="A13" s="6" t="s">
        <v>7</v>
      </c>
      <c r="B13" s="31">
        <v>209175</v>
      </c>
      <c r="C13" s="31">
        <f t="shared" si="0"/>
        <v>4649562.5</v>
      </c>
      <c r="D13" s="24"/>
      <c r="F13" s="146" t="s">
        <v>7</v>
      </c>
      <c r="G13" s="147">
        <f>192975*G22</f>
        <v>4148962500</v>
      </c>
      <c r="H13" s="147">
        <f>2000*H22</f>
        <v>45000000</v>
      </c>
      <c r="I13" s="148">
        <f>800*I22</f>
        <v>24000000</v>
      </c>
      <c r="J13" s="148">
        <f>8000*J22</f>
        <v>200000000</v>
      </c>
      <c r="K13" s="148">
        <f>0*K22</f>
        <v>0</v>
      </c>
      <c r="L13" s="148">
        <f>4800*L22</f>
        <v>218400000</v>
      </c>
      <c r="M13" s="148">
        <f>0*M22</f>
        <v>0</v>
      </c>
      <c r="N13" s="148">
        <f>600*N22</f>
        <v>13200000</v>
      </c>
      <c r="O13" s="148">
        <f>0*O22</f>
        <v>0</v>
      </c>
      <c r="P13" s="149">
        <f t="shared" si="1"/>
        <v>4649562500</v>
      </c>
    </row>
    <row r="14" spans="1:21" ht="16.5" thickBot="1">
      <c r="A14" s="6" t="s">
        <v>8</v>
      </c>
      <c r="B14" s="31">
        <v>571436</v>
      </c>
      <c r="C14" s="31">
        <f>P14/1000</f>
        <v>12305400</v>
      </c>
      <c r="D14" s="24"/>
      <c r="F14" s="146" t="s">
        <v>8</v>
      </c>
      <c r="G14" s="209">
        <f>561720*G22</f>
        <v>12076980000</v>
      </c>
      <c r="H14" s="209">
        <f>7352*H22</f>
        <v>165420000</v>
      </c>
      <c r="I14" s="208">
        <f>780*I22</f>
        <v>23400000</v>
      </c>
      <c r="J14" s="208">
        <f>1584*J22</f>
        <v>39600000</v>
      </c>
      <c r="K14" s="208">
        <f>0*K22</f>
        <v>0</v>
      </c>
      <c r="L14" s="208">
        <f>0*L22</f>
        <v>0</v>
      </c>
      <c r="M14" s="208">
        <f>0*M22</f>
        <v>0</v>
      </c>
      <c r="N14" s="208">
        <f>0*N22</f>
        <v>0</v>
      </c>
      <c r="O14" s="208">
        <f>0*O22</f>
        <v>0</v>
      </c>
      <c r="P14" s="210">
        <f t="shared" si="1"/>
        <v>12305400000</v>
      </c>
    </row>
    <row r="15" spans="1:21" ht="16.5" thickBot="1">
      <c r="A15" s="6" t="s">
        <v>9</v>
      </c>
      <c r="B15" s="31">
        <v>565107</v>
      </c>
      <c r="C15" s="31">
        <f>P15/1000</f>
        <v>12181670.5</v>
      </c>
      <c r="D15" s="24"/>
      <c r="F15" s="146" t="s">
        <v>9</v>
      </c>
      <c r="G15" s="209">
        <f>559296*G22</f>
        <v>12024864000</v>
      </c>
      <c r="H15" s="209">
        <f>4678*H22</f>
        <v>105255000</v>
      </c>
      <c r="I15" s="208">
        <f>0*I22</f>
        <v>0</v>
      </c>
      <c r="J15" s="208">
        <f>0*J22</f>
        <v>0</v>
      </c>
      <c r="K15" s="208">
        <f>0*K22</f>
        <v>0</v>
      </c>
      <c r="L15" s="208">
        <f>1133*L22</f>
        <v>51551500</v>
      </c>
      <c r="M15" s="208">
        <f>0*M22</f>
        <v>0</v>
      </c>
      <c r="N15" s="208">
        <f>0*N22</f>
        <v>0</v>
      </c>
      <c r="O15" s="208">
        <f>0*O22</f>
        <v>0</v>
      </c>
      <c r="P15" s="210">
        <f t="shared" si="1"/>
        <v>12181670500</v>
      </c>
    </row>
    <row r="16" spans="1:21" ht="16.5" thickBot="1">
      <c r="A16" s="6" t="s">
        <v>10</v>
      </c>
      <c r="B16" s="31">
        <v>415514</v>
      </c>
      <c r="C16" s="31">
        <f>P16/1000</f>
        <v>8941329</v>
      </c>
      <c r="D16" s="24"/>
      <c r="F16" s="146" t="s">
        <v>10</v>
      </c>
      <c r="G16" s="209">
        <f>410496*G22</f>
        <v>8825664000</v>
      </c>
      <c r="H16" s="209">
        <f>4898*H22</f>
        <v>110205000</v>
      </c>
      <c r="I16" s="208">
        <f>0*I22</f>
        <v>0</v>
      </c>
      <c r="J16" s="208">
        <f>0*J22</f>
        <v>0</v>
      </c>
      <c r="K16" s="208">
        <f>0*K22</f>
        <v>0</v>
      </c>
      <c r="L16" s="208">
        <f>120*L22</f>
        <v>5460000</v>
      </c>
      <c r="M16" s="208">
        <f>0*M22</f>
        <v>0</v>
      </c>
      <c r="N16" s="208">
        <f>0*N22</f>
        <v>0</v>
      </c>
      <c r="O16" s="208">
        <f>0*O22</f>
        <v>0</v>
      </c>
      <c r="P16" s="210">
        <f t="shared" si="1"/>
        <v>8941329000</v>
      </c>
    </row>
    <row r="17" spans="1:17" ht="16.5" thickBot="1">
      <c r="A17" s="6" t="s">
        <v>11</v>
      </c>
      <c r="B17" s="31">
        <v>0</v>
      </c>
      <c r="C17" s="31">
        <v>0</v>
      </c>
      <c r="D17" s="24"/>
      <c r="F17" s="146" t="s">
        <v>11</v>
      </c>
      <c r="G17" s="209"/>
      <c r="H17" s="209"/>
      <c r="I17" s="208"/>
      <c r="J17" s="208"/>
      <c r="K17" s="208"/>
      <c r="L17" s="208"/>
      <c r="M17" s="208"/>
      <c r="N17" s="208"/>
      <c r="O17" s="208"/>
      <c r="P17" s="210">
        <f t="shared" si="1"/>
        <v>0</v>
      </c>
    </row>
    <row r="18" spans="1:17" ht="16.5" thickBot="1">
      <c r="A18" s="6" t="s">
        <v>12</v>
      </c>
      <c r="B18" s="31">
        <v>0</v>
      </c>
      <c r="C18" s="31">
        <v>0</v>
      </c>
      <c r="D18" s="24"/>
      <c r="F18" s="146" t="s">
        <v>12</v>
      </c>
      <c r="G18" s="209"/>
      <c r="H18" s="209"/>
      <c r="I18" s="208"/>
      <c r="J18" s="208"/>
      <c r="K18" s="208"/>
      <c r="L18" s="208"/>
      <c r="M18" s="208"/>
      <c r="N18" s="208"/>
      <c r="O18" s="208"/>
      <c r="P18" s="210">
        <f t="shared" si="1"/>
        <v>0</v>
      </c>
    </row>
    <row r="19" spans="1:17" ht="16.5" thickBot="1">
      <c r="A19" s="6" t="s">
        <v>13</v>
      </c>
      <c r="B19" s="31">
        <v>0</v>
      </c>
      <c r="C19" s="31">
        <v>0</v>
      </c>
      <c r="D19" s="24"/>
      <c r="F19" s="146" t="s">
        <v>13</v>
      </c>
      <c r="G19" s="209"/>
      <c r="H19" s="209"/>
      <c r="I19" s="208"/>
      <c r="J19" s="208"/>
      <c r="K19" s="208"/>
      <c r="L19" s="208"/>
      <c r="M19" s="208"/>
      <c r="N19" s="208"/>
      <c r="O19" s="208"/>
      <c r="P19" s="210">
        <f t="shared" si="1"/>
        <v>0</v>
      </c>
    </row>
    <row r="20" spans="1:17" ht="16.5" thickBot="1">
      <c r="A20" s="7" t="s">
        <v>98</v>
      </c>
      <c r="B20" s="36">
        <f>SUM(B8:B19)</f>
        <v>3526480</v>
      </c>
      <c r="C20" s="36">
        <f>SUM(C8:C19)</f>
        <v>77061257</v>
      </c>
      <c r="D20" s="24"/>
      <c r="F20" s="143" t="s">
        <v>69</v>
      </c>
      <c r="G20" s="147">
        <f t="shared" ref="G20:P20" si="3">SUM(G8:G19)</f>
        <v>71107960500</v>
      </c>
      <c r="H20" s="147">
        <f t="shared" si="3"/>
        <v>3443220000</v>
      </c>
      <c r="I20" s="147">
        <f t="shared" si="3"/>
        <v>185400000</v>
      </c>
      <c r="J20" s="147">
        <f t="shared" si="3"/>
        <v>390200000</v>
      </c>
      <c r="K20" s="147">
        <f t="shared" si="3"/>
        <v>35000000</v>
      </c>
      <c r="L20" s="147">
        <f t="shared" si="3"/>
        <v>1816496500</v>
      </c>
      <c r="M20" s="147">
        <f t="shared" si="3"/>
        <v>20000000</v>
      </c>
      <c r="N20" s="147">
        <f t="shared" si="3"/>
        <v>34980000</v>
      </c>
      <c r="O20" s="147">
        <f t="shared" si="3"/>
        <v>28000000</v>
      </c>
      <c r="P20" s="149">
        <f t="shared" si="3"/>
        <v>77061257000</v>
      </c>
    </row>
    <row r="21" spans="1:17" ht="16.5" thickBot="1">
      <c r="A21" s="7">
        <v>2021</v>
      </c>
      <c r="B21" s="36">
        <v>3289898</v>
      </c>
      <c r="C21" s="36">
        <v>64508619</v>
      </c>
      <c r="D21" s="24"/>
      <c r="F21" s="150" t="s">
        <v>131</v>
      </c>
      <c r="G21" s="152" t="str">
        <f t="shared" ref="G21:O21" si="4">G7</f>
        <v>Lele</v>
      </c>
      <c r="H21" s="152" t="str">
        <f t="shared" si="4"/>
        <v>Nila</v>
      </c>
      <c r="I21" s="152" t="str">
        <f t="shared" si="4"/>
        <v>Mas</v>
      </c>
      <c r="J21" s="152" t="str">
        <f t="shared" si="4"/>
        <v>Tawes, Lalawak</v>
      </c>
      <c r="K21" s="152" t="str">
        <f t="shared" si="4"/>
        <v xml:space="preserve">Nilem </v>
      </c>
      <c r="L21" s="152" t="str">
        <f t="shared" si="4"/>
        <v>Gurame</v>
      </c>
      <c r="M21" s="152" t="str">
        <f t="shared" si="4"/>
        <v>Gabus</v>
      </c>
      <c r="N21" s="152" t="str">
        <f t="shared" si="4"/>
        <v>Bawal</v>
      </c>
      <c r="O21" s="152" t="str">
        <f t="shared" si="4"/>
        <v>Tambakan</v>
      </c>
      <c r="P21" s="153"/>
      <c r="Q21" s="151"/>
    </row>
    <row r="22" spans="1:17" ht="16.5" thickBot="1">
      <c r="A22" s="7">
        <v>2020</v>
      </c>
      <c r="B22" s="36">
        <v>2491297</v>
      </c>
      <c r="C22" s="36">
        <v>46391351</v>
      </c>
      <c r="D22" s="24"/>
      <c r="F22" s="140" t="s">
        <v>133</v>
      </c>
      <c r="G22" s="141">
        <v>21500</v>
      </c>
      <c r="H22" s="141">
        <v>22500</v>
      </c>
      <c r="I22" s="142">
        <v>30000</v>
      </c>
      <c r="J22" s="142">
        <v>25000</v>
      </c>
      <c r="K22" s="142">
        <v>35000</v>
      </c>
      <c r="L22" s="142">
        <v>45500</v>
      </c>
      <c r="M22" s="142">
        <v>50000</v>
      </c>
      <c r="N22" s="142">
        <v>22000</v>
      </c>
      <c r="O22" s="142">
        <v>20000</v>
      </c>
      <c r="P22" s="139"/>
    </row>
    <row r="23" spans="1:17" ht="16.5" thickBot="1">
      <c r="A23" s="7">
        <v>2019</v>
      </c>
      <c r="B23" s="38">
        <v>2582936</v>
      </c>
      <c r="C23" s="38">
        <v>38518965</v>
      </c>
      <c r="D23" s="24"/>
      <c r="F23" s="139"/>
      <c r="G23" s="27"/>
      <c r="H23" s="27"/>
      <c r="I23" s="139"/>
      <c r="J23" s="139"/>
      <c r="K23" s="139"/>
      <c r="L23" s="139"/>
      <c r="M23" s="139"/>
      <c r="N23" s="139"/>
      <c r="O23" s="139"/>
      <c r="P23" s="139"/>
    </row>
    <row r="24" spans="1:17" ht="16.5" thickBot="1">
      <c r="A24" s="7">
        <v>2018</v>
      </c>
      <c r="B24" s="53">
        <v>2899782</v>
      </c>
      <c r="C24" s="38">
        <v>48320125.109999999</v>
      </c>
      <c r="D24" s="24"/>
    </row>
    <row r="25" spans="1:17">
      <c r="A25" s="24"/>
      <c r="B25" s="24"/>
      <c r="C25" s="24"/>
      <c r="D25" s="24"/>
    </row>
    <row r="26" spans="1:17">
      <c r="A26" s="24"/>
      <c r="B26" s="24"/>
      <c r="C26" s="24"/>
      <c r="D26" s="24"/>
      <c r="P26" s="138">
        <f>43632857500-P20</f>
        <v>-33428399500</v>
      </c>
    </row>
    <row r="27" spans="1:17">
      <c r="A27" s="305" t="s">
        <v>31</v>
      </c>
      <c r="B27" s="305"/>
      <c r="C27" s="305"/>
      <c r="D27" s="305"/>
    </row>
    <row r="29" spans="1:17" ht="15.75" thickBot="1"/>
    <row r="30" spans="1:17" ht="30.75" thickBot="1">
      <c r="A30" s="158"/>
      <c r="B30" s="159" t="s">
        <v>29</v>
      </c>
      <c r="C30" s="159" t="s">
        <v>33</v>
      </c>
    </row>
    <row r="31" spans="1:17" ht="15.75" thickBot="1">
      <c r="A31" s="160" t="s">
        <v>121</v>
      </c>
      <c r="B31" s="161">
        <f>SUM(B8:B10)</f>
        <v>843305</v>
      </c>
      <c r="C31" s="161">
        <f>SUM(C8:C10)</f>
        <v>18306552.5</v>
      </c>
    </row>
    <row r="32" spans="1:17" ht="15.75" thickBot="1">
      <c r="A32" s="160" t="s">
        <v>118</v>
      </c>
      <c r="B32" s="161">
        <f>SUM(B11:B13)</f>
        <v>1131118</v>
      </c>
      <c r="C32" s="161">
        <f>SUM(C11:C13)</f>
        <v>25326305</v>
      </c>
    </row>
    <row r="33" spans="1:3" ht="15.75" thickBot="1">
      <c r="A33" s="160" t="s">
        <v>119</v>
      </c>
      <c r="B33" s="161">
        <f>SUM(B14:B16)</f>
        <v>1552057</v>
      </c>
      <c r="C33" s="161">
        <f>SUM(C14:C16)</f>
        <v>33428399.5</v>
      </c>
    </row>
    <row r="34" spans="1:3" ht="15.75" thickBot="1">
      <c r="A34" s="160" t="s">
        <v>120</v>
      </c>
      <c r="B34" s="161">
        <f>SUM(B17:B19)</f>
        <v>0</v>
      </c>
      <c r="C34" s="161">
        <f>SUM(C17:C19)</f>
        <v>0</v>
      </c>
    </row>
    <row r="35" spans="1:3" ht="15.75" thickBot="1">
      <c r="A35" s="160" t="s">
        <v>69</v>
      </c>
      <c r="B35" s="162">
        <f>SUM(B31:B34)</f>
        <v>3526480</v>
      </c>
      <c r="C35" s="162">
        <f>SUM(C31:C34)</f>
        <v>77061257</v>
      </c>
    </row>
  </sheetData>
  <mergeCells count="4">
    <mergeCell ref="A1:C1"/>
    <mergeCell ref="A2:C2"/>
    <mergeCell ref="A3:C3"/>
    <mergeCell ref="A27:D27"/>
  </mergeCells>
  <pageMargins left="0.39370078740157483" right="0.70866141732283472" top="0.74803149606299213" bottom="0.74803149606299213" header="0.31496062992125984" footer="0.31496062992125984"/>
  <pageSetup paperSize="5" scale="57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topLeftCell="A7" zoomScale="70" zoomScaleNormal="70" zoomScalePageLayoutView="70" workbookViewId="0">
      <selection activeCell="G39" sqref="G39"/>
    </sheetView>
  </sheetViews>
  <sheetFormatPr defaultColWidth="9" defaultRowHeight="15"/>
  <cols>
    <col min="1" max="1" width="27.7109375" customWidth="1"/>
    <col min="2" max="2" width="22.140625" customWidth="1"/>
    <col min="3" max="3" width="23" customWidth="1"/>
  </cols>
  <sheetData>
    <row r="1" spans="1:7" ht="15" customHeight="1">
      <c r="A1" s="306" t="s">
        <v>0</v>
      </c>
      <c r="B1" s="306"/>
      <c r="C1" s="306"/>
      <c r="D1" s="24"/>
    </row>
    <row r="2" spans="1:7" ht="15.75">
      <c r="A2" s="306" t="s">
        <v>92</v>
      </c>
      <c r="B2" s="306"/>
      <c r="C2" s="306"/>
      <c r="D2" s="24"/>
    </row>
    <row r="3" spans="1:7" ht="15.75">
      <c r="A3" s="306" t="s">
        <v>99</v>
      </c>
      <c r="B3" s="306"/>
      <c r="C3" s="306"/>
      <c r="D3" s="24"/>
    </row>
    <row r="4" spans="1:7" ht="15.75">
      <c r="A4" s="102"/>
      <c r="B4" s="102"/>
      <c r="C4" s="102"/>
      <c r="D4" s="24"/>
    </row>
    <row r="5" spans="1:7" ht="15.75" thickBot="1">
      <c r="A5" s="107" t="s">
        <v>102</v>
      </c>
      <c r="B5" s="24"/>
      <c r="C5" s="24"/>
      <c r="D5" s="24"/>
    </row>
    <row r="6" spans="1:7" ht="44.25" customHeight="1">
      <c r="A6" s="307" t="s">
        <v>36</v>
      </c>
      <c r="B6" s="309" t="s">
        <v>95</v>
      </c>
      <c r="C6" s="311" t="s">
        <v>63</v>
      </c>
      <c r="D6" s="24"/>
    </row>
    <row r="7" spans="1:7" ht="15.75" thickBot="1">
      <c r="A7" s="308"/>
      <c r="B7" s="310"/>
      <c r="C7" s="312"/>
      <c r="D7" s="24"/>
    </row>
    <row r="8" spans="1:7" ht="15.75" thickBot="1">
      <c r="A8" s="14">
        <v>1</v>
      </c>
      <c r="B8" s="15">
        <v>2</v>
      </c>
      <c r="C8" s="15">
        <v>3</v>
      </c>
      <c r="D8" s="24"/>
    </row>
    <row r="9" spans="1:7" ht="16.5" thickBot="1">
      <c r="A9" s="16" t="s">
        <v>38</v>
      </c>
      <c r="B9" s="31">
        <v>0</v>
      </c>
      <c r="C9" s="31">
        <v>0</v>
      </c>
      <c r="D9" s="24"/>
    </row>
    <row r="10" spans="1:7" ht="16.5" thickBot="1">
      <c r="A10" s="16" t="s">
        <v>39</v>
      </c>
      <c r="B10" s="31">
        <v>0</v>
      </c>
      <c r="C10" s="31">
        <v>0</v>
      </c>
      <c r="D10" s="24"/>
    </row>
    <row r="11" spans="1:7" ht="16.5" thickBot="1">
      <c r="A11" s="16" t="s">
        <v>40</v>
      </c>
      <c r="B11" s="31">
        <v>0</v>
      </c>
      <c r="C11" s="31">
        <v>0</v>
      </c>
      <c r="D11" s="24"/>
    </row>
    <row r="12" spans="1:7" ht="16.5" thickBot="1">
      <c r="A12" s="16" t="s">
        <v>41</v>
      </c>
      <c r="B12" s="31">
        <f>SUM(F12)</f>
        <v>129133</v>
      </c>
      <c r="C12" s="31">
        <f>SUM(83955000+60101000+62038000+64938000+94208000+84110000+289579000+290425000+290425000+226255000+273110000+334625000)/1000</f>
        <v>2153769</v>
      </c>
      <c r="D12" s="24"/>
      <c r="F12" s="109">
        <f>SUM(3780+40+140+225+215+500)+(2098+175+432+560+105+225)+(2144+160+420+620+110+292)+(2689+180+120+529+150+280)+(3950+120+320+380+100+80)+(4544+120+320+380+100+80)+(14777+180+250+650+150+1753)+(15520+180+345+790+105+260)+(15520+180+345+790+105+260)+(11340+200+275+1400+125+100)+(13400+250+205+1800+140+705)+(16200+200+275+2450+125+1100)</f>
        <v>129133</v>
      </c>
      <c r="G12" t="s">
        <v>107</v>
      </c>
    </row>
    <row r="13" spans="1:7" ht="16.5" thickBot="1">
      <c r="A13" s="16" t="s">
        <v>42</v>
      </c>
      <c r="B13" s="31">
        <v>0</v>
      </c>
      <c r="C13" s="31">
        <v>0</v>
      </c>
      <c r="D13" s="24"/>
      <c r="F13" s="109"/>
    </row>
    <row r="14" spans="1:7" ht="16.5" thickBot="1">
      <c r="A14" s="16" t="s">
        <v>43</v>
      </c>
      <c r="B14" s="31">
        <v>0</v>
      </c>
      <c r="C14" s="31">
        <v>0</v>
      </c>
      <c r="D14" s="24"/>
      <c r="F14" s="109"/>
    </row>
    <row r="15" spans="1:7" ht="16.5" thickBot="1">
      <c r="A15" s="16" t="s">
        <v>44</v>
      </c>
      <c r="B15" s="31">
        <v>0</v>
      </c>
      <c r="C15" s="31">
        <v>0</v>
      </c>
      <c r="D15" s="24"/>
      <c r="F15" s="109"/>
    </row>
    <row r="16" spans="1:7" ht="16.5" thickBot="1">
      <c r="A16" s="16" t="s">
        <v>45</v>
      </c>
      <c r="B16" s="31">
        <v>0</v>
      </c>
      <c r="C16" s="31">
        <v>0</v>
      </c>
      <c r="D16" s="24"/>
      <c r="F16" s="109"/>
    </row>
    <row r="17" spans="1:7" ht="16.5" thickBot="1">
      <c r="A17" s="16" t="s">
        <v>46</v>
      </c>
      <c r="B17" s="31">
        <f>SUM(F17)</f>
        <v>130877</v>
      </c>
      <c r="C17" s="31">
        <f>SUM(116095000+128820000+122330000+106605000+99015000+60286000+232013000+196120000+196120000+185957000+352000000+367380000)/1000</f>
        <v>2162741</v>
      </c>
      <c r="D17" s="24"/>
      <c r="F17" s="109">
        <f>SUM(670+4250+5+180+840+943)+(557+6645+20+40+140+360)+(650+6245+15+30+160+239)+(954+5145+20+44+60+245)+(680+4945+10+35+120+150)+(520+2918+12+40+80+30)+(630+11659+50+80+120+1961)+(670+10660+10+60+110+130)+(670+10660+10+60+110+130)+(850+9791+24+60+145+230)+(3450+16500+50+180+220+1100)+(4780+16540+50+85+160+885)</f>
        <v>130877</v>
      </c>
      <c r="G17" t="s">
        <v>106</v>
      </c>
    </row>
    <row r="18" spans="1:7" ht="16.5" thickBot="1">
      <c r="A18" s="16" t="s">
        <v>47</v>
      </c>
      <c r="B18" s="31">
        <v>0</v>
      </c>
      <c r="C18" s="31">
        <v>0</v>
      </c>
      <c r="D18" s="24"/>
      <c r="F18" s="109"/>
    </row>
    <row r="19" spans="1:7" ht="16.5" thickBot="1">
      <c r="A19" s="16" t="s">
        <v>48</v>
      </c>
      <c r="B19" s="31">
        <v>0</v>
      </c>
      <c r="C19" s="31">
        <v>0</v>
      </c>
      <c r="D19" s="24"/>
      <c r="F19" s="109"/>
    </row>
    <row r="20" spans="1:7" ht="16.5" thickBot="1">
      <c r="A20" s="16" t="s">
        <v>49</v>
      </c>
      <c r="B20" s="31">
        <v>0</v>
      </c>
      <c r="C20" s="31">
        <v>0</v>
      </c>
      <c r="D20" s="24"/>
      <c r="F20" s="109"/>
    </row>
    <row r="21" spans="1:7" ht="16.5" thickBot="1">
      <c r="A21" s="16" t="s">
        <v>50</v>
      </c>
      <c r="B21" s="31">
        <v>0</v>
      </c>
      <c r="C21" s="31">
        <v>0</v>
      </c>
      <c r="D21" s="24"/>
      <c r="F21" s="109"/>
    </row>
    <row r="22" spans="1:7" ht="16.5" thickBot="1">
      <c r="A22" s="16" t="s">
        <v>51</v>
      </c>
      <c r="B22" s="31">
        <v>0</v>
      </c>
      <c r="C22" s="31">
        <v>0</v>
      </c>
      <c r="D22" s="24"/>
      <c r="F22" s="109"/>
    </row>
    <row r="23" spans="1:7" ht="16.5" thickBot="1">
      <c r="A23" s="16" t="s">
        <v>52</v>
      </c>
      <c r="B23" s="31">
        <v>0</v>
      </c>
      <c r="C23" s="31">
        <v>0</v>
      </c>
      <c r="D23" s="24"/>
      <c r="F23" s="109"/>
    </row>
    <row r="24" spans="1:7" ht="16.5" thickBot="1">
      <c r="A24" s="16" t="s">
        <v>53</v>
      </c>
      <c r="B24" s="31">
        <v>0</v>
      </c>
      <c r="C24" s="31">
        <v>0</v>
      </c>
      <c r="D24" s="24"/>
      <c r="F24" s="109"/>
    </row>
    <row r="25" spans="1:7" ht="16.5" thickBot="1">
      <c r="A25" s="16" t="s">
        <v>54</v>
      </c>
      <c r="B25" s="31">
        <v>0</v>
      </c>
      <c r="C25" s="31">
        <v>0</v>
      </c>
      <c r="D25" s="24"/>
      <c r="F25" s="109"/>
    </row>
    <row r="26" spans="1:7" ht="16.5" thickBot="1">
      <c r="A26" s="7" t="s">
        <v>98</v>
      </c>
      <c r="B26" s="98">
        <f>SUM(B9:B25)</f>
        <v>260010</v>
      </c>
      <c r="C26" s="36">
        <f>SUM(C9:C25)</f>
        <v>4316510</v>
      </c>
      <c r="D26" s="24"/>
      <c r="F26" s="109">
        <f>SUM(F12+F17)</f>
        <v>260010</v>
      </c>
    </row>
    <row r="27" spans="1:7" ht="16.5" thickBot="1">
      <c r="A27" s="7">
        <v>2021</v>
      </c>
      <c r="B27" s="41">
        <v>203225</v>
      </c>
      <c r="C27" s="38">
        <v>3488723</v>
      </c>
      <c r="D27" s="24"/>
    </row>
    <row r="28" spans="1:7" ht="16.5" thickBot="1">
      <c r="A28" s="7">
        <v>2020</v>
      </c>
      <c r="B28" s="41">
        <v>314529</v>
      </c>
      <c r="C28" s="38">
        <v>5624773</v>
      </c>
      <c r="D28" s="24"/>
    </row>
    <row r="29" spans="1:7" ht="16.5" thickBot="1">
      <c r="A29" s="7">
        <v>2019</v>
      </c>
      <c r="B29" s="41">
        <v>232178</v>
      </c>
      <c r="C29" s="38">
        <v>3922956</v>
      </c>
      <c r="D29" s="24"/>
    </row>
    <row r="30" spans="1:7" ht="16.5" thickBot="1">
      <c r="A30" s="7">
        <v>2018</v>
      </c>
      <c r="B30" s="41">
        <v>92297</v>
      </c>
      <c r="C30" s="41">
        <v>1536481</v>
      </c>
      <c r="D30" s="24"/>
    </row>
    <row r="31" spans="1:7">
      <c r="A31" s="24"/>
      <c r="B31" s="24"/>
      <c r="C31" s="24"/>
      <c r="D31" s="24"/>
    </row>
    <row r="32" spans="1:7">
      <c r="A32" s="24"/>
      <c r="B32" s="24"/>
      <c r="C32" s="24"/>
      <c r="D32" s="24"/>
    </row>
    <row r="33" spans="1:4">
      <c r="A33" s="305" t="s">
        <v>31</v>
      </c>
      <c r="B33" s="305"/>
      <c r="C33" s="305"/>
      <c r="D33" s="305"/>
    </row>
  </sheetData>
  <mergeCells count="7">
    <mergeCell ref="A1:C1"/>
    <mergeCell ref="A33:D33"/>
    <mergeCell ref="A2:C2"/>
    <mergeCell ref="A3:C3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5" scale="7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5"/>
  <sheetViews>
    <sheetView topLeftCell="A10" zoomScale="80" zoomScaleNormal="80" workbookViewId="0">
      <selection activeCell="B34" sqref="B34"/>
    </sheetView>
  </sheetViews>
  <sheetFormatPr defaultColWidth="9" defaultRowHeight="15"/>
  <cols>
    <col min="1" max="1" width="27.7109375" customWidth="1"/>
    <col min="2" max="2" width="25.42578125" customWidth="1"/>
    <col min="3" max="3" width="23" customWidth="1"/>
    <col min="6" max="7" width="15.5703125" bestFit="1" customWidth="1"/>
  </cols>
  <sheetData>
    <row r="1" spans="1:7" ht="15" customHeight="1">
      <c r="A1" s="304" t="s">
        <v>0</v>
      </c>
      <c r="B1" s="304"/>
      <c r="C1" s="304"/>
      <c r="D1" s="24"/>
    </row>
    <row r="2" spans="1:7" ht="15.75">
      <c r="A2" s="304" t="s">
        <v>60</v>
      </c>
      <c r="B2" s="304"/>
      <c r="C2" s="304"/>
      <c r="D2" s="24"/>
    </row>
    <row r="3" spans="1:7" ht="15.75">
      <c r="A3" s="304" t="s">
        <v>97</v>
      </c>
      <c r="B3" s="304"/>
      <c r="C3" s="304"/>
      <c r="D3" s="24"/>
    </row>
    <row r="4" spans="1:7" ht="15.75">
      <c r="A4" s="111"/>
      <c r="B4" s="111"/>
      <c r="C4" s="111"/>
      <c r="D4" s="24"/>
    </row>
    <row r="5" spans="1:7" ht="15.75" thickBot="1">
      <c r="A5" s="107" t="s">
        <v>102</v>
      </c>
      <c r="B5" s="24"/>
      <c r="C5" s="24"/>
      <c r="D5" s="24"/>
    </row>
    <row r="6" spans="1:7" ht="32.25" thickBot="1">
      <c r="A6" s="10" t="s">
        <v>59</v>
      </c>
      <c r="B6" s="9" t="s">
        <v>29</v>
      </c>
      <c r="C6" s="9" t="s">
        <v>34</v>
      </c>
      <c r="D6" s="24"/>
    </row>
    <row r="7" spans="1:7" ht="16.5" thickBot="1">
      <c r="A7" s="17">
        <v>1</v>
      </c>
      <c r="B7" s="18">
        <v>2</v>
      </c>
      <c r="C7" s="18">
        <v>3</v>
      </c>
      <c r="D7" s="24"/>
    </row>
    <row r="8" spans="1:7" ht="16.5" thickBot="1">
      <c r="A8" s="6" t="s">
        <v>2</v>
      </c>
      <c r="B8" s="157">
        <f>SUM(F8)</f>
        <v>11788</v>
      </c>
      <c r="C8" s="157">
        <f>200050000/1000</f>
        <v>200050</v>
      </c>
      <c r="D8" s="24"/>
      <c r="F8" s="109">
        <f>SUM(670+4250+5+180+840+943+3780+40+140+225+215+500)</f>
        <v>11788</v>
      </c>
      <c r="G8" s="109">
        <f>SUM(10050000+76500000+75000+3240000+16800000+9430000+68040000+720000+2520000+3375000+4300000+5000000)/1000</f>
        <v>200050</v>
      </c>
    </row>
    <row r="9" spans="1:7" ht="16.5" thickBot="1">
      <c r="A9" s="6" t="s">
        <v>3</v>
      </c>
      <c r="B9" s="157">
        <f>SUM(F9)</f>
        <v>11357</v>
      </c>
      <c r="C9" s="157">
        <f>188921000/1000</f>
        <v>188921</v>
      </c>
      <c r="D9" s="24"/>
      <c r="F9" s="109">
        <f>SUM(557+6645+20+40+140+360+2098+175+432+560+105+225)</f>
        <v>11357</v>
      </c>
      <c r="G9" s="109">
        <f>SUM(8355000+112965000+300000+800000+2800000+3600000+35666000+3150000+8640000+8400000+1995000+2250000)/1000</f>
        <v>188921</v>
      </c>
    </row>
    <row r="10" spans="1:7" ht="16.5" thickBot="1">
      <c r="A10" s="6" t="s">
        <v>4</v>
      </c>
      <c r="B10" s="157">
        <f t="shared" ref="B10:B12" si="0">SUM(F10)</f>
        <v>11085</v>
      </c>
      <c r="C10" s="157">
        <f>184368000/1000</f>
        <v>184368</v>
      </c>
      <c r="D10" s="24"/>
      <c r="F10" s="109">
        <f>SUM(650+6245+15+30+160+239+2144+160+420+620+110+292)</f>
        <v>11085</v>
      </c>
      <c r="G10" s="109">
        <f>SUM(9750000+106165000+225000+600000+3200000+2390000+36448000+2880000+8400000+9300000+2090000+2920000)/1000</f>
        <v>184368</v>
      </c>
    </row>
    <row r="11" spans="1:7" ht="16.5" thickBot="1">
      <c r="A11" s="6" t="s">
        <v>5</v>
      </c>
      <c r="B11" s="157">
        <f t="shared" si="0"/>
        <v>10416</v>
      </c>
      <c r="C11" s="157">
        <f>171543000/1000</f>
        <v>171543</v>
      </c>
      <c r="D11" s="24"/>
      <c r="F11" s="109">
        <f>SUM(954+5145+20+44+60+245+2689+180+120+529+150+280)</f>
        <v>10416</v>
      </c>
      <c r="G11" s="109">
        <f>SUM(14310000+87465000+300000+880000+1200000+2450000+45713000+3240000+2400000+7935000+2850000+2800000)/1000</f>
        <v>171543</v>
      </c>
    </row>
    <row r="12" spans="1:7" ht="16.5" thickBot="1">
      <c r="A12" s="6" t="s">
        <v>6</v>
      </c>
      <c r="B12" s="157">
        <f t="shared" si="0"/>
        <v>11484</v>
      </c>
      <c r="C12" s="157">
        <f>193223000/1000</f>
        <v>193223</v>
      </c>
      <c r="D12" s="24"/>
      <c r="F12" s="109">
        <f>SUM(680+4945+10+35+120+150+4544+120+320+380+100+80)</f>
        <v>11484</v>
      </c>
      <c r="G12" s="109">
        <f>SUM(10200000+84065000+150000+700000+2400000+1500000+77248000+2160000+6400000+5700000+1900000+800000)/1000</f>
        <v>193223</v>
      </c>
    </row>
    <row r="13" spans="1:7" ht="16.5" thickBot="1">
      <c r="A13" s="6" t="s">
        <v>7</v>
      </c>
      <c r="B13" s="178">
        <f>F13</f>
        <v>8550</v>
      </c>
      <c r="C13" s="178">
        <f>G13</f>
        <v>144396</v>
      </c>
      <c r="D13" s="24"/>
      <c r="F13" s="109">
        <f>SUM(520+2918+12+40+80+30+3950+120+320+380+100+80)</f>
        <v>8550</v>
      </c>
      <c r="G13" s="109">
        <f>SUM(7800000+49606000+180000+800000+1600000+300000+67150000+2160000+6400000+5700000+1900000+800000)/1000</f>
        <v>144396</v>
      </c>
    </row>
    <row r="14" spans="1:7" ht="16.5" thickBot="1">
      <c r="A14" s="6" t="s">
        <v>8</v>
      </c>
      <c r="B14" s="177">
        <f>F14</f>
        <v>32260</v>
      </c>
      <c r="C14" s="177">
        <f>G14</f>
        <v>521592</v>
      </c>
      <c r="D14" s="24"/>
      <c r="F14" s="109">
        <f>SUM(630+11659+50+80+120+1961+14777+180+250+650+150+1753)</f>
        <v>32260</v>
      </c>
      <c r="G14" s="109">
        <f>SUM(9450000+198203000+750000+1600000+2400000+19610000+251209000+3240000+5000000+9750000+2850000+17530000)/1000</f>
        <v>521592</v>
      </c>
    </row>
    <row r="15" spans="1:7" ht="16.5" thickBot="1">
      <c r="A15" s="6" t="s">
        <v>9</v>
      </c>
      <c r="B15" s="177">
        <f>F15</f>
        <v>28840</v>
      </c>
      <c r="C15" s="177">
        <f>486545000/1000</f>
        <v>486545</v>
      </c>
      <c r="D15" s="24"/>
      <c r="F15" s="109">
        <f>SUM(670+10660+10+60+110+130+15520+180+345+790+105+260)</f>
        <v>28840</v>
      </c>
      <c r="G15" s="109">
        <f>SUM(10050000+181220000+150000+1200000+2200000+1300000+263840000+3240000+6900000+11850000+1995000+2600000)/1000</f>
        <v>486545</v>
      </c>
    </row>
    <row r="16" spans="1:7" ht="16.5" thickBot="1">
      <c r="A16" s="6" t="s">
        <v>10</v>
      </c>
      <c r="B16" s="39">
        <f>F16</f>
        <v>28840</v>
      </c>
      <c r="C16" s="177">
        <f>486545000/1000</f>
        <v>486545</v>
      </c>
      <c r="D16" s="24"/>
      <c r="F16" s="109">
        <f>SUM(670+10660+10+60+110+130+15520+180+345+790+105+260)</f>
        <v>28840</v>
      </c>
      <c r="G16" s="109">
        <f>SUM(10050000+181220000+150000+1200000+2200000+1300000+263840000+3240000+6900000+11850000+1995000+2600000)/1000</f>
        <v>486545</v>
      </c>
    </row>
    <row r="17" spans="1:7" ht="16.5" thickBot="1">
      <c r="A17" s="6" t="s">
        <v>11</v>
      </c>
      <c r="B17" s="39">
        <f>F17</f>
        <v>24540</v>
      </c>
      <c r="C17" s="39">
        <f>412212000/1000</f>
        <v>412212</v>
      </c>
      <c r="D17" s="24"/>
      <c r="F17" s="109">
        <f>SUM(850+9791+24+60+145+230+11340+200+275+1400+125+100)</f>
        <v>24540</v>
      </c>
      <c r="G17" s="109">
        <f>SUM(12750000+166447000+360000+1200000+2900000+2300000+192780000+3600000+5500000+21000000+2375000+1000000)/1000</f>
        <v>412212</v>
      </c>
    </row>
    <row r="18" spans="1:7" ht="16.5" thickBot="1">
      <c r="A18" s="6" t="s">
        <v>12</v>
      </c>
      <c r="B18" s="39">
        <f>F18</f>
        <v>38000</v>
      </c>
      <c r="C18" s="39">
        <f>625110000/1000</f>
        <v>625110</v>
      </c>
      <c r="D18" s="24"/>
      <c r="F18" s="109">
        <f>SUM(3450+16500+50+180+220+1100+13400+250+205+1800+140+705)</f>
        <v>38000</v>
      </c>
      <c r="G18" s="109">
        <f>SUM(51750000+280500000+750000+3600000+4400000+11000000+227800000+4500000+4100000+27000000+2660000+7050000)/1000</f>
        <v>625110</v>
      </c>
    </row>
    <row r="19" spans="1:7" ht="16.5" thickBot="1">
      <c r="A19" s="6" t="s">
        <v>13</v>
      </c>
      <c r="B19" s="39">
        <f>F19</f>
        <v>42850</v>
      </c>
      <c r="C19" s="39">
        <f>702005000/1000</f>
        <v>702005</v>
      </c>
      <c r="D19" s="24"/>
      <c r="F19" s="109">
        <f>SUM(4780+16540+50+85+160+885+16200+200+275+2450+125+1100)</f>
        <v>42850</v>
      </c>
      <c r="G19" s="109">
        <f>SUM(71700000+281180000+750000+1700000+3200000+8850000+275400000+3600000+5500000+36750000+2375000+11000000)/1000</f>
        <v>702005</v>
      </c>
    </row>
    <row r="20" spans="1:7" ht="16.5" thickBot="1">
      <c r="A20" s="7" t="s">
        <v>98</v>
      </c>
      <c r="B20" s="40">
        <f>SUM(B8:B19)</f>
        <v>260010</v>
      </c>
      <c r="C20" s="38">
        <f>SUM(C8:C19)</f>
        <v>4316510</v>
      </c>
      <c r="D20" s="24"/>
      <c r="F20" s="115">
        <f>SUM(F8:F19)</f>
        <v>260010</v>
      </c>
      <c r="G20" s="115">
        <f>SUM(G8:G19)</f>
        <v>4316510</v>
      </c>
    </row>
    <row r="21" spans="1:7" ht="16.5" thickBot="1">
      <c r="A21" s="7">
        <v>2021</v>
      </c>
      <c r="B21" s="41">
        <v>203225</v>
      </c>
      <c r="C21" s="38">
        <v>3488723</v>
      </c>
      <c r="D21" s="24"/>
      <c r="F21" s="116"/>
      <c r="G21" s="116"/>
    </row>
    <row r="22" spans="1:7" ht="16.5" thickBot="1">
      <c r="A22" s="7">
        <v>2020</v>
      </c>
      <c r="B22" s="41">
        <v>314529</v>
      </c>
      <c r="C22" s="38">
        <v>5624773</v>
      </c>
      <c r="D22" s="24"/>
    </row>
    <row r="23" spans="1:7" ht="16.5" thickBot="1">
      <c r="A23" s="7">
        <v>2019</v>
      </c>
      <c r="B23" s="41">
        <v>232178</v>
      </c>
      <c r="C23" s="38">
        <v>3922956</v>
      </c>
      <c r="D23" s="24"/>
    </row>
    <row r="24" spans="1:7" ht="16.5" thickBot="1">
      <c r="A24" s="7">
        <v>2018</v>
      </c>
      <c r="B24" s="41">
        <v>92297</v>
      </c>
      <c r="C24" s="41">
        <v>1536481</v>
      </c>
      <c r="D24" s="24"/>
    </row>
    <row r="25" spans="1:7">
      <c r="A25" s="24"/>
      <c r="B25" s="24"/>
      <c r="C25" s="24"/>
      <c r="D25" s="24"/>
    </row>
    <row r="26" spans="1:7">
      <c r="A26" s="24"/>
      <c r="B26" s="24"/>
      <c r="C26" s="24"/>
      <c r="D26" s="24"/>
    </row>
    <row r="27" spans="1:7">
      <c r="A27" s="305" t="s">
        <v>31</v>
      </c>
      <c r="B27" s="305"/>
      <c r="C27" s="305"/>
      <c r="D27" s="305"/>
    </row>
    <row r="29" spans="1:7" ht="15.75" thickBot="1"/>
    <row r="30" spans="1:7" ht="30.75" thickBot="1">
      <c r="A30" s="122"/>
      <c r="B30" s="123" t="s">
        <v>29</v>
      </c>
      <c r="C30" s="123" t="s">
        <v>33</v>
      </c>
    </row>
    <row r="31" spans="1:7" ht="15.75" thickBot="1">
      <c r="A31" s="125" t="s">
        <v>121</v>
      </c>
      <c r="B31" s="124">
        <f>SUM(B8:B10)</f>
        <v>34230</v>
      </c>
      <c r="C31" s="124">
        <f>SUM(C8:C10)</f>
        <v>573339</v>
      </c>
    </row>
    <row r="32" spans="1:7" ht="15.75" thickBot="1">
      <c r="A32" s="125" t="s">
        <v>118</v>
      </c>
      <c r="B32" s="124">
        <f>SUM(B11:B13)</f>
        <v>30450</v>
      </c>
      <c r="C32" s="124">
        <f>SUM(C11:C13)</f>
        <v>509162</v>
      </c>
    </row>
    <row r="33" spans="1:3" ht="15.75" thickBot="1">
      <c r="A33" s="125" t="s">
        <v>119</v>
      </c>
      <c r="B33" s="124">
        <f>SUM(B14:B16)</f>
        <v>89940</v>
      </c>
      <c r="C33" s="124">
        <f>SUM(C14:C16)</f>
        <v>1494682</v>
      </c>
    </row>
    <row r="34" spans="1:3" ht="15.75" thickBot="1">
      <c r="A34" s="125" t="s">
        <v>120</v>
      </c>
      <c r="B34" s="124">
        <f>SUM(B17:B19)</f>
        <v>105390</v>
      </c>
      <c r="C34" s="124">
        <f>SUM(C17:C19)</f>
        <v>1739327</v>
      </c>
    </row>
    <row r="35" spans="1:3" ht="15.75" thickBot="1">
      <c r="A35" s="125" t="s">
        <v>69</v>
      </c>
      <c r="B35" s="126">
        <f>SUM(B31:B34)</f>
        <v>260010</v>
      </c>
      <c r="C35" s="126">
        <f>SUM(C31:C34)</f>
        <v>4316510</v>
      </c>
    </row>
  </sheetData>
  <mergeCells count="4">
    <mergeCell ref="A1:C1"/>
    <mergeCell ref="A2:C2"/>
    <mergeCell ref="A3:C3"/>
    <mergeCell ref="A27:D27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hsl tngkapn laut mnrt tmpt  TPI</vt:lpstr>
      <vt:lpstr>hsl tngkapn laut mnrt Kecamatan</vt:lpstr>
      <vt:lpstr>  hasil tangkapan laut mnrt bln</vt:lpstr>
      <vt:lpstr>luas &amp; prod tambak mnrt kec</vt:lpstr>
      <vt:lpstr>pro&amp;nilai prknnn tmbak mnrt bln</vt:lpstr>
      <vt:lpstr>luas &amp; prod kolam mnrt kec</vt:lpstr>
      <vt:lpstr>prod&amp;nilai prknn kolam mnrt bln</vt:lpstr>
      <vt:lpstr>prod&amp;nilai prknn waduk per kec</vt:lpstr>
      <vt:lpstr>prod&amp; nilai prknn waduk perbln</vt:lpstr>
      <vt:lpstr>prod&amp; nilai prknn Sungai perbln</vt:lpstr>
      <vt:lpstr>prod &amp; nilai rmpt laut mnrt kec</vt:lpstr>
      <vt:lpstr>prod &amp; nilai rumpt laut per bln</vt:lpstr>
      <vt:lpstr>prod &amp; nilai grm tmbk per kec</vt:lpstr>
      <vt:lpstr>prod&amp;nilai garm rakyat mnrt bln</vt:lpstr>
      <vt:lpstr>prod&amp;nilai garm rebus mnrt bln</vt:lpstr>
      <vt:lpstr>prod&amp;nilai Pengolahan mnrt bln</vt:lpstr>
      <vt:lpstr>alat tangkap mnrt jenis di PPI</vt:lpstr>
      <vt:lpstr>Garam KW I &amp; KW II</vt:lpstr>
      <vt:lpstr>'prod&amp;nilai garm rakyat mnrt bln'!_GoBack</vt:lpstr>
      <vt:lpstr>'prod&amp;nilai garm rebus mnrt bln'!_GoBack</vt:lpstr>
      <vt:lpstr>'prod&amp;nilai Pengolahan mnrt bln'!_GoBack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2024-01-15T03:39:50Z</cp:lastPrinted>
  <dcterms:created xsi:type="dcterms:W3CDTF">2018-04-09T02:12:36Z</dcterms:created>
  <dcterms:modified xsi:type="dcterms:W3CDTF">2024-02-07T07:33:14Z</dcterms:modified>
</cp:coreProperties>
</file>